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/>
  </bookViews>
  <sheets>
    <sheet name="Cover Page" sheetId="10" r:id="rId1"/>
    <sheet name="Analysis" sheetId="3" r:id="rId2"/>
    <sheet name="Summary" sheetId="9" r:id="rId3"/>
    <sheet name="Reference" sheetId="7" r:id="rId4"/>
  </sheets>
  <externalReferences>
    <externalReference r:id="rId5"/>
    <externalReference r:id="rId6"/>
  </externalReferences>
  <definedNames>
    <definedName name="_xlnm._FilterDatabase" localSheetId="2" hidden="1">Summary!$A$12:$H$16</definedName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 localSheetId="0">#REF!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K14" i="3" l="1"/>
  <c r="J14" i="3"/>
  <c r="D28" i="3" l="1"/>
  <c r="P14" i="3" l="1"/>
  <c r="M4" i="9" l="1"/>
  <c r="M5" i="9"/>
  <c r="M6" i="9"/>
  <c r="M7" i="9"/>
  <c r="M8" i="9"/>
  <c r="M3" i="9"/>
  <c r="H6" i="9" l="1"/>
  <c r="H7" i="9"/>
  <c r="H8" i="9"/>
  <c r="H9" i="9"/>
  <c r="H12" i="9"/>
  <c r="C9" i="9" l="1"/>
  <c r="H13" i="9" l="1"/>
  <c r="E13" i="9"/>
  <c r="D13" i="9"/>
  <c r="C13" i="9"/>
  <c r="B13" i="9"/>
  <c r="A13" i="9"/>
  <c r="F12" i="9"/>
  <c r="E12" i="9"/>
  <c r="D12" i="9"/>
  <c r="C12" i="9"/>
  <c r="D9" i="9"/>
  <c r="D6" i="9"/>
  <c r="D5" i="9"/>
  <c r="H5" i="9" s="1"/>
  <c r="D4" i="9"/>
  <c r="H4" i="9" s="1"/>
  <c r="D3" i="9"/>
  <c r="H3" i="9" s="1"/>
  <c r="D2" i="9"/>
  <c r="H2" i="9" s="1"/>
  <c r="O3" i="9" s="1"/>
  <c r="O4" i="9" l="1"/>
  <c r="O5" i="9" s="1"/>
  <c r="O6" i="9" s="1"/>
  <c r="O7" i="9" s="1"/>
  <c r="O8" i="9" s="1"/>
  <c r="D5" i="3"/>
  <c r="D9" i="3" l="1"/>
  <c r="U11" i="3" s="1"/>
  <c r="Y14" i="3" l="1"/>
  <c r="D7" i="3"/>
  <c r="S11" i="3" s="1"/>
  <c r="D8" i="3"/>
  <c r="T11" i="3" s="1"/>
  <c r="D6" i="3"/>
  <c r="R11" i="3" s="1"/>
  <c r="AD14" i="3"/>
  <c r="Q14" i="3" l="1"/>
  <c r="V14" i="3"/>
  <c r="W14" i="3"/>
  <c r="Q11" i="3"/>
  <c r="X14" i="3"/>
  <c r="G5" i="3"/>
  <c r="Z14" i="3" l="1"/>
  <c r="AA14" i="3" s="1"/>
  <c r="AC14" i="3" l="1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I20" i="7"/>
  <c r="I28" i="7"/>
  <c r="I6" i="9" l="1"/>
  <c r="I4" i="9"/>
  <c r="J4" i="9" s="1"/>
  <c r="I5" i="9"/>
  <c r="J5" i="9" s="1"/>
  <c r="I2" i="9"/>
  <c r="I3" i="9"/>
  <c r="J3" i="9" s="1"/>
  <c r="I7" i="9"/>
  <c r="J7" i="9" s="1"/>
  <c r="AF14" i="3"/>
  <c r="AL14" i="3" s="1"/>
  <c r="AK14" i="3" l="1"/>
  <c r="AJ14" i="3"/>
  <c r="AM14" i="3" s="1"/>
  <c r="J2" i="9"/>
  <c r="N3" i="9" s="1"/>
  <c r="N4" i="9" s="1"/>
  <c r="N5" i="9" s="1"/>
  <c r="N6" i="9" s="1"/>
  <c r="N7" i="9" s="1"/>
  <c r="N8" i="9" s="1"/>
  <c r="J6" i="9"/>
  <c r="AN14" i="3" l="1"/>
</calcChain>
</file>

<file path=xl/sharedStrings.xml><?xml version="1.0" encoding="utf-8"?>
<sst xmlns="http://schemas.openxmlformats.org/spreadsheetml/2006/main" count="556" uniqueCount="128">
  <si>
    <t>Financial</t>
  </si>
  <si>
    <t>Frequency</t>
  </si>
  <si>
    <t>Baseline Residual Risk</t>
  </si>
  <si>
    <t>Adjusted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</si>
  <si>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</si>
  <si>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</si>
  <si>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</si>
  <si>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</si>
  <si>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</si>
  <si>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</si>
  <si>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</si>
  <si>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</si>
  <si>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</si>
  <si>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Capital Cost (Life of Project)</t>
  </si>
  <si>
    <t>OM Cost (Annual)</t>
  </si>
  <si>
    <t>Annuity</t>
  </si>
  <si>
    <t>New/Existing</t>
  </si>
  <si>
    <t>Life of the Project</t>
  </si>
  <si>
    <t>Safety</t>
  </si>
  <si>
    <t>Reliability</t>
  </si>
  <si>
    <t>Compliance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</si>
  <si>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</si>
  <si>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</si>
  <si>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</si>
  <si>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</si>
  <si>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</si>
  <si>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</si>
  <si>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</si>
  <si>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</si>
  <si>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</si>
  <si>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</si>
  <si>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</si>
  <si>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</si>
  <si>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</si>
  <si>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</si>
  <si>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</si>
  <si>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</si>
  <si>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</si>
  <si>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</si>
  <si>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</si>
  <si>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</si>
  <si>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</si>
  <si>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</si>
  <si>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</si>
  <si>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</si>
  <si>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</si>
  <si>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</si>
  <si>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</si>
  <si>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</si>
  <si>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</si>
  <si>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</si>
  <si>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</si>
  <si>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</si>
  <si>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</si>
  <si>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</si>
  <si>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</si>
  <si>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</si>
  <si>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</si>
  <si>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</si>
  <si>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</si>
  <si>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</si>
  <si>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</si>
  <si>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</si>
  <si>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</si>
  <si>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Cost</t>
  </si>
  <si>
    <t>Ordered Cumulative 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</si>
  <si>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</si>
  <si>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</si>
  <si>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</si>
  <si>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</si>
  <si>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</si>
  <si>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</si>
  <si>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</si>
  <si>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</si>
  <si>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</si>
  <si>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P1</t>
  </si>
  <si>
    <t>P2</t>
  </si>
  <si>
    <t>New</t>
  </si>
  <si>
    <t>Ordered Mitigations</t>
  </si>
  <si>
    <t>Scores</t>
  </si>
  <si>
    <t>Score Category</t>
  </si>
  <si>
    <t>Risk</t>
  </si>
  <si>
    <t/>
  </si>
  <si>
    <t>Combined Programs</t>
  </si>
  <si>
    <t>Cost per Life of Project ($000)</t>
  </si>
  <si>
    <t>Order</t>
  </si>
  <si>
    <t>Plot Projects</t>
  </si>
  <si>
    <t>Costs</t>
  </si>
  <si>
    <t xml:space="preserve"> </t>
  </si>
  <si>
    <t>Derived Benefit Score</t>
  </si>
  <si>
    <t>Effective UAS Safety program (SMS, asset improvements, public information)</t>
  </si>
  <si>
    <t>• UAS SMS
• UAS Training Program
• Contractor qual, oversight, audit
• Flight mgmt controls, software
• Research drone tech upgrade/replacements
• UAS privacy policy/public awareness</t>
  </si>
  <si>
    <t>P3</t>
  </si>
  <si>
    <t>P4</t>
  </si>
  <si>
    <t>P5</t>
  </si>
  <si>
    <t>P6</t>
  </si>
  <si>
    <t>UAS SMS</t>
  </si>
  <si>
    <t>UAS training</t>
  </si>
  <si>
    <t>Contractor qual, oversight, audits</t>
  </si>
  <si>
    <t>Flight mgmt controls</t>
  </si>
  <si>
    <t>Tech advances</t>
  </si>
  <si>
    <t>UAS privacy policy</t>
  </si>
  <si>
    <t>Mitigations reduce the frequency from a 2 to a 1 (one in 100+ years)</t>
  </si>
  <si>
    <t>Description</t>
  </si>
  <si>
    <t>&gt;10 times per year</t>
  </si>
  <si>
    <t>1-10 times per year</t>
  </si>
  <si>
    <t>Once every 1-3 years</t>
  </si>
  <si>
    <t>Once every 3-10 years</t>
  </si>
  <si>
    <t>Once every 10-30 years</t>
  </si>
  <si>
    <t>Once every 30-100 years</t>
  </si>
  <si>
    <t>Once every 100+ years</t>
  </si>
  <si>
    <t>Adjustment Factor</t>
  </si>
  <si>
    <t>Controls</t>
  </si>
  <si>
    <t>Adjusted Baseline</t>
  </si>
  <si>
    <t>Capital Cost (2017-2019)</t>
  </si>
  <si>
    <t>OM Cost (2017-2019 average)</t>
  </si>
  <si>
    <t>Rationale</t>
  </si>
  <si>
    <t>Frequency %</t>
  </si>
  <si>
    <t>New Score (for life of project)</t>
  </si>
  <si>
    <t>RSE</t>
  </si>
  <si>
    <t>Derived New Scores</t>
  </si>
  <si>
    <t>Ordered Cumulative New Score</t>
  </si>
  <si>
    <t>2016 Risk Assessment Mitigation Phase</t>
  </si>
  <si>
    <t>Investigation 16-10-015</t>
  </si>
  <si>
    <t>Risk Spend Efficiency Workpapers to</t>
  </si>
  <si>
    <t>January 2017</t>
  </si>
  <si>
    <t>Unmanned Aircraft System (UAS) Incident</t>
  </si>
  <si>
    <t>(Chapter SDG&amp;E-11-WP-RSE)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</si>
</sst>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1" fillId="9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2" fillId="20" borderId="0" applyNumberFormat="0" applyBorder="0" applyAlignment="0" applyProtection="0"/>
    <xf numFmtId="0" fontId="23" fillId="24" borderId="11" applyNumberFormat="0" applyAlignment="0" applyProtection="0"/>
    <xf numFmtId="0" fontId="24" fillId="17" borderId="12" applyNumberFormat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5" fillId="13" borderId="0" applyNumberFormat="0" applyBorder="0" applyAlignment="0" applyProtection="0"/>
    <xf numFmtId="0" fontId="15" fillId="2" borderId="0" applyNumberFormat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11" applyNumberFormat="0" applyAlignment="0" applyProtection="0"/>
    <xf numFmtId="0" fontId="30" fillId="0" borderId="16" applyNumberFormat="0" applyFill="0" applyAlignment="0" applyProtection="0"/>
    <xf numFmtId="0" fontId="30" fillId="21" borderId="0" applyNumberFormat="0" applyBorder="0" applyAlignment="0" applyProtection="0"/>
    <xf numFmtId="0" fontId="31" fillId="28" borderId="0"/>
    <xf numFmtId="0" fontId="32" fillId="0" borderId="0"/>
    <xf numFmtId="0" fontId="7" fillId="0" borderId="0"/>
    <xf numFmtId="0" fontId="5" fillId="0" borderId="0"/>
    <xf numFmtId="0" fontId="33" fillId="0" borderId="0"/>
    <xf numFmtId="0" fontId="31" fillId="28" borderId="0"/>
    <xf numFmtId="0" fontId="33" fillId="0" borderId="0"/>
    <xf numFmtId="0" fontId="7" fillId="0" borderId="0"/>
    <xf numFmtId="0" fontId="34" fillId="0" borderId="0"/>
    <xf numFmtId="0" fontId="7" fillId="0" borderId="0"/>
    <xf numFmtId="0" fontId="31" fillId="28" borderId="0"/>
    <xf numFmtId="0" fontId="31" fillId="28" borderId="0"/>
    <xf numFmtId="0" fontId="7" fillId="0" borderId="0"/>
    <xf numFmtId="0" fontId="31" fillId="28" borderId="0"/>
    <xf numFmtId="0" fontId="31" fillId="28" borderId="0"/>
    <xf numFmtId="0" fontId="31" fillId="28" borderId="0"/>
    <xf numFmtId="0" fontId="31" fillId="28" borderId="0"/>
    <xf numFmtId="0" fontId="31" fillId="20" borderId="11" applyNumberFormat="0" applyFont="0" applyAlignment="0" applyProtection="0"/>
    <xf numFmtId="0" fontId="1" fillId="3" borderId="10" applyNumberFormat="0" applyFont="0" applyAlignment="0" applyProtection="0"/>
    <xf numFmtId="0" fontId="35" fillId="24" borderId="17" applyNumberFormat="0" applyAlignment="0" applyProtection="0"/>
    <xf numFmtId="4" fontId="31" fillId="29" borderId="11" applyNumberFormat="0" applyProtection="0">
      <alignment vertical="center"/>
    </xf>
    <xf numFmtId="4" fontId="31" fillId="29" borderId="11" applyNumberFormat="0" applyProtection="0">
      <alignment vertical="center"/>
    </xf>
    <xf numFmtId="4" fontId="36" fillId="30" borderId="11" applyNumberFormat="0" applyProtection="0">
      <alignment vertical="center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0" fontId="37" fillId="29" borderId="18" applyNumberFormat="0" applyProtection="0">
      <alignment horizontal="left" vertical="top" indent="1"/>
    </xf>
    <xf numFmtId="4" fontId="31" fillId="31" borderId="11" applyNumberFormat="0" applyProtection="0">
      <alignment horizontal="left" vertical="center" indent="1"/>
    </xf>
    <xf numFmtId="4" fontId="31" fillId="31" borderId="11" applyNumberFormat="0" applyProtection="0">
      <alignment horizontal="left" vertical="center" indent="1"/>
    </xf>
    <xf numFmtId="4" fontId="31" fillId="32" borderId="11" applyNumberFormat="0" applyProtection="0">
      <alignment horizontal="right" vertical="center"/>
    </xf>
    <xf numFmtId="4" fontId="31" fillId="32" borderId="11" applyNumberFormat="0" applyProtection="0">
      <alignment horizontal="right" vertical="center"/>
    </xf>
    <xf numFmtId="4" fontId="31" fillId="33" borderId="11" applyNumberFormat="0" applyProtection="0">
      <alignment horizontal="right" vertical="center"/>
    </xf>
    <xf numFmtId="4" fontId="31" fillId="33" borderId="11" applyNumberFormat="0" applyProtection="0">
      <alignment horizontal="right" vertical="center"/>
    </xf>
    <xf numFmtId="4" fontId="31" fillId="34" borderId="19" applyNumberFormat="0" applyProtection="0">
      <alignment horizontal="right" vertical="center"/>
    </xf>
    <xf numFmtId="4" fontId="31" fillId="34" borderId="19" applyNumberFormat="0" applyProtection="0">
      <alignment horizontal="right" vertical="center"/>
    </xf>
    <xf numFmtId="4" fontId="31" fillId="35" borderId="11" applyNumberFormat="0" applyProtection="0">
      <alignment horizontal="right" vertical="center"/>
    </xf>
    <xf numFmtId="4" fontId="31" fillId="35" borderId="11" applyNumberFormat="0" applyProtection="0">
      <alignment horizontal="right" vertical="center"/>
    </xf>
    <xf numFmtId="4" fontId="31" fillId="36" borderId="11" applyNumberFormat="0" applyProtection="0">
      <alignment horizontal="right" vertical="center"/>
    </xf>
    <xf numFmtId="4" fontId="31" fillId="36" borderId="11" applyNumberFormat="0" applyProtection="0">
      <alignment horizontal="right" vertical="center"/>
    </xf>
    <xf numFmtId="4" fontId="31" fillId="37" borderId="11" applyNumberFormat="0" applyProtection="0">
      <alignment horizontal="right" vertical="center"/>
    </xf>
    <xf numFmtId="4" fontId="31" fillId="37" borderId="11" applyNumberFormat="0" applyProtection="0">
      <alignment horizontal="right" vertical="center"/>
    </xf>
    <xf numFmtId="4" fontId="31" fillId="38" borderId="11" applyNumberFormat="0" applyProtection="0">
      <alignment horizontal="right" vertical="center"/>
    </xf>
    <xf numFmtId="4" fontId="31" fillId="38" borderId="11" applyNumberFormat="0" applyProtection="0">
      <alignment horizontal="right" vertical="center"/>
    </xf>
    <xf numFmtId="4" fontId="31" fillId="39" borderId="11" applyNumberFormat="0" applyProtection="0">
      <alignment horizontal="right" vertical="center"/>
    </xf>
    <xf numFmtId="4" fontId="31" fillId="39" borderId="11" applyNumberFormat="0" applyProtection="0">
      <alignment horizontal="right" vertical="center"/>
    </xf>
    <xf numFmtId="4" fontId="31" fillId="40" borderId="11" applyNumberFormat="0" applyProtection="0">
      <alignment horizontal="right" vertical="center"/>
    </xf>
    <xf numFmtId="4" fontId="31" fillId="40" borderId="11" applyNumberFormat="0" applyProtection="0">
      <alignment horizontal="right" vertical="center"/>
    </xf>
    <xf numFmtId="4" fontId="31" fillId="41" borderId="19" applyNumberFormat="0" applyProtection="0">
      <alignment horizontal="left" vertical="center" indent="1"/>
    </xf>
    <xf numFmtId="4" fontId="31" fillId="41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7" fillId="42" borderId="19" applyNumberFormat="0" applyProtection="0">
      <alignment horizontal="left" vertical="center" indent="1"/>
    </xf>
    <xf numFmtId="4" fontId="31" fillId="43" borderId="11" applyNumberFormat="0" applyProtection="0">
      <alignment horizontal="right" vertical="center"/>
    </xf>
    <xf numFmtId="4" fontId="31" fillId="43" borderId="11" applyNumberFormat="0" applyProtection="0">
      <alignment horizontal="right" vertical="center"/>
    </xf>
    <xf numFmtId="4" fontId="31" fillId="44" borderId="19" applyNumberFormat="0" applyProtection="0">
      <alignment horizontal="left" vertical="center" indent="1"/>
    </xf>
    <xf numFmtId="4" fontId="31" fillId="44" borderId="19" applyNumberFormat="0" applyProtection="0">
      <alignment horizontal="left" vertical="center" indent="1"/>
    </xf>
    <xf numFmtId="4" fontId="31" fillId="43" borderId="19" applyNumberFormat="0" applyProtection="0">
      <alignment horizontal="left" vertical="center" indent="1"/>
    </xf>
    <xf numFmtId="4" fontId="31" fillId="43" borderId="19" applyNumberFormat="0" applyProtection="0">
      <alignment horizontal="left" vertical="center" indent="1"/>
    </xf>
    <xf numFmtId="0" fontId="31" fillId="45" borderId="11" applyNumberFormat="0" applyProtection="0">
      <alignment horizontal="left" vertical="center" indent="1"/>
    </xf>
    <xf numFmtId="0" fontId="31" fillId="45" borderId="11" applyNumberFormat="0" applyProtection="0">
      <alignment horizontal="left" vertical="center" indent="1"/>
    </xf>
    <xf numFmtId="0" fontId="31" fillId="42" borderId="18" applyNumberFormat="0" applyProtection="0">
      <alignment horizontal="left" vertical="top" indent="1"/>
    </xf>
    <xf numFmtId="0" fontId="31" fillId="46" borderId="11" applyNumberFormat="0" applyProtection="0">
      <alignment horizontal="left" vertical="center" indent="1"/>
    </xf>
    <xf numFmtId="0" fontId="31" fillId="46" borderId="11" applyNumberFormat="0" applyProtection="0">
      <alignment horizontal="left" vertical="center" indent="1"/>
    </xf>
    <xf numFmtId="0" fontId="31" fillId="43" borderId="18" applyNumberFormat="0" applyProtection="0">
      <alignment horizontal="left" vertical="top" indent="1"/>
    </xf>
    <xf numFmtId="0" fontId="31" fillId="47" borderId="11" applyNumberFormat="0" applyProtection="0">
      <alignment horizontal="left" vertical="center" indent="1"/>
    </xf>
    <xf numFmtId="0" fontId="31" fillId="47" borderId="11" applyNumberFormat="0" applyProtection="0">
      <alignment horizontal="left" vertical="center" indent="1"/>
    </xf>
    <xf numFmtId="0" fontId="31" fillId="47" borderId="18" applyNumberFormat="0" applyProtection="0">
      <alignment horizontal="left" vertical="top" indent="1"/>
    </xf>
    <xf numFmtId="0" fontId="31" fillId="44" borderId="11" applyNumberFormat="0" applyProtection="0">
      <alignment horizontal="left" vertical="center" indent="1"/>
    </xf>
    <xf numFmtId="0" fontId="31" fillId="44" borderId="11" applyNumberFormat="0" applyProtection="0">
      <alignment horizontal="left" vertical="center" indent="1"/>
    </xf>
    <xf numFmtId="0" fontId="31" fillId="44" borderId="18" applyNumberFormat="0" applyProtection="0">
      <alignment horizontal="left" vertical="top" indent="1"/>
    </xf>
    <xf numFmtId="0" fontId="31" fillId="48" borderId="20" applyNumberFormat="0">
      <protection locked="0"/>
    </xf>
    <xf numFmtId="0" fontId="38" fillId="42" borderId="21" applyBorder="0"/>
    <xf numFmtId="4" fontId="39" fillId="49" borderId="18" applyNumberFormat="0" applyProtection="0">
      <alignment vertical="center"/>
    </xf>
    <xf numFmtId="4" fontId="36" fillId="50" borderId="1" applyNumberFormat="0" applyProtection="0">
      <alignment vertical="center"/>
    </xf>
    <xf numFmtId="4" fontId="39" fillId="45" borderId="18" applyNumberFormat="0" applyProtection="0">
      <alignment horizontal="left" vertical="center" indent="1"/>
    </xf>
    <xf numFmtId="0" fontId="39" fillId="49" borderId="18" applyNumberFormat="0" applyProtection="0">
      <alignment horizontal="left" vertical="top" indent="1"/>
    </xf>
    <xf numFmtId="4" fontId="31" fillId="0" borderId="11" applyNumberFormat="0" applyProtection="0">
      <alignment horizontal="right" vertical="center"/>
    </xf>
    <xf numFmtId="4" fontId="31" fillId="0" borderId="11" applyNumberFormat="0" applyProtection="0">
      <alignment horizontal="right" vertical="center"/>
    </xf>
    <xf numFmtId="4" fontId="36" fillId="51" borderId="11" applyNumberFormat="0" applyProtection="0">
      <alignment horizontal="right" vertical="center"/>
    </xf>
    <xf numFmtId="4" fontId="31" fillId="31" borderId="11" applyNumberFormat="0" applyProtection="0">
      <alignment horizontal="left" vertical="center" indent="1"/>
    </xf>
    <xf numFmtId="4" fontId="31" fillId="31" borderId="11" applyNumberFormat="0" applyProtection="0">
      <alignment horizontal="left" vertical="center" indent="1"/>
    </xf>
    <xf numFmtId="0" fontId="39" fillId="43" borderId="18" applyNumberFormat="0" applyProtection="0">
      <alignment horizontal="left" vertical="top" indent="1"/>
    </xf>
    <xf numFmtId="4" fontId="40" fillId="52" borderId="19" applyNumberFormat="0" applyProtection="0">
      <alignment horizontal="left" vertical="center" indent="1"/>
    </xf>
    <xf numFmtId="0" fontId="31" fillId="53" borderId="1"/>
    <xf numFmtId="0" fontId="31" fillId="53" borderId="1"/>
    <xf numFmtId="4" fontId="41" fillId="48" borderId="11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1" fillId="54" borderId="22">
      <alignment horizontal="center" vertical="center" wrapText="1"/>
    </xf>
    <xf numFmtId="0" fontId="25" fillId="0" borderId="23" applyNumberFormat="0" applyFill="0" applyAlignment="0" applyProtection="0"/>
    <xf numFmtId="0" fontId="43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0" fontId="3" fillId="0" borderId="0" xfId="0" applyFont="1" applyFill="1"/>
    <xf numFmtId="0" fontId="11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43" fontId="3" fillId="0" borderId="1" xfId="3" applyFont="1" applyFill="1" applyBorder="1"/>
    <xf numFmtId="0" fontId="11" fillId="0" borderId="0" xfId="0" applyFont="1" applyFill="1" applyBorder="1" applyAlignment="1">
      <alignment horizontal="left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3" fillId="0" borderId="1" xfId="1" applyNumberFormat="1" applyFont="1" applyFill="1" applyBorder="1"/>
    <xf numFmtId="0" fontId="12" fillId="0" borderId="0" xfId="0" applyFont="1" applyFill="1"/>
    <xf numFmtId="171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14" fontId="3" fillId="0" borderId="0" xfId="0" applyNumberFormat="1" applyFont="1" applyFill="1"/>
    <xf numFmtId="2" fontId="3" fillId="0" borderId="1" xfId="0" applyNumberFormat="1" applyFont="1" applyFill="1" applyBorder="1"/>
    <xf numFmtId="170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0" fontId="3" fillId="0" borderId="1" xfId="3" applyNumberFormat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44" fontId="3" fillId="0" borderId="1" xfId="1" applyFont="1" applyFill="1" applyBorder="1"/>
    <xf numFmtId="168" fontId="3" fillId="0" borderId="1" xfId="0" applyNumberFormat="1" applyFont="1" applyFill="1" applyBorder="1"/>
    <xf numFmtId="168" fontId="3" fillId="0" borderId="0" xfId="0" applyNumberFormat="1" applyFont="1" applyFill="1" applyBorder="1"/>
    <xf numFmtId="0" fontId="3" fillId="0" borderId="4" xfId="0" applyFont="1" applyFill="1" applyBorder="1" applyAlignment="1">
      <alignment wrapText="1"/>
    </xf>
    <xf numFmtId="164" fontId="3" fillId="0" borderId="0" xfId="0" applyNumberFormat="1" applyFont="1" applyFill="1"/>
    <xf numFmtId="0" fontId="3" fillId="0" borderId="6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11" fillId="0" borderId="1" xfId="0" applyFont="1" applyFill="1" applyBorder="1" applyAlignment="1">
      <alignment horizontal="right"/>
    </xf>
    <xf numFmtId="164" fontId="3" fillId="0" borderId="1" xfId="0" applyNumberFormat="1" applyFont="1" applyFill="1" applyBorder="1"/>
    <xf numFmtId="44" fontId="3" fillId="0" borderId="1" xfId="0" applyNumberFormat="1" applyFont="1" applyFill="1" applyBorder="1"/>
    <xf numFmtId="0" fontId="11" fillId="0" borderId="7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7" fontId="20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UAS, Benefit Cost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Analysis!$AN$14:$AN$14</c:f>
              <c:strCache>
                <c:ptCount val="1"/>
                <c:pt idx="0">
                  <c:v>P1 - Effective UAS Safety program (SMS, asset improvements, public information)</c:v>
                </c:pt>
              </c:strCache>
            </c:strRef>
          </c:cat>
          <c:val>
            <c:numRef>
              <c:f>Analysis!$AM$14:$AM$14</c:f>
              <c:numCache>
                <c:formatCode>General</c:formatCode>
                <c:ptCount val="1"/>
                <c:pt idx="0">
                  <c:v>36.83210805393032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C3-48A5-8D7C-E6A907FE797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1155584"/>
        <c:axId val="81331328"/>
      </c:barChart>
      <c:catAx>
        <c:axId val="8115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31328"/>
        <c:crosses val="autoZero"/>
        <c:auto val="1"/>
        <c:lblAlgn val="ctr"/>
        <c:lblOffset val="100"/>
        <c:noMultiLvlLbl val="0"/>
      </c:catAx>
      <c:valAx>
        <c:axId val="81331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Benefit/Cost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514350</xdr:colOff>
      <xdr:row>19</xdr:row>
      <xdr:rowOff>23812</xdr:rowOff>
    </xdr:from>
    <xdr:to>
      <xdr:col>32</xdr:col>
      <xdr:colOff>219075</xdr:colOff>
      <xdr:row>30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33-11%20-%20Documents\05%20Draft%20Project%20Deliverables\Final%20Costs\33-11%20AIS%20Risk%20Mitigations%20-%20Cost%20Ranges%20Update%20v1%20jy%202016-10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 cost ranges"/>
    </sheetNames>
    <sheetDataSet>
      <sheetData sheetId="0">
        <row r="20">
          <cell r="F20">
            <v>0</v>
          </cell>
        </row>
        <row r="27">
          <cell r="F27">
            <v>0</v>
          </cell>
          <cell r="I27">
            <v>137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>
      <selection activeCell="A7" sqref="A7"/>
    </sheetView>
  </sheetViews>
  <sheetFormatPr defaultRowHeight="15" x14ac:dyDescent="0.25"/>
  <cols>
    <col min="1" max="1" width="90.42578125" style="92" customWidth="1"/>
  </cols>
  <sheetData>
    <row r="1" spans="1:1" ht="34.5" x14ac:dyDescent="0.25">
      <c r="A1" s="86"/>
    </row>
    <row r="2" spans="1:1" ht="34.5" x14ac:dyDescent="0.25">
      <c r="A2" s="86"/>
    </row>
    <row r="3" spans="1:1" ht="34.5" x14ac:dyDescent="0.25">
      <c r="A3" s="87" t="s">
        <v>122</v>
      </c>
    </row>
    <row r="4" spans="1:1" ht="6" customHeight="1" x14ac:dyDescent="0.25">
      <c r="A4" s="87"/>
    </row>
    <row r="5" spans="1:1" ht="34.5" x14ac:dyDescent="0.25">
      <c r="A5" s="88" t="s">
        <v>123</v>
      </c>
    </row>
    <row r="6" spans="1:1" ht="6" customHeight="1" x14ac:dyDescent="0.25">
      <c r="A6" s="87"/>
    </row>
    <row r="7" spans="1:1" ht="34.5" x14ac:dyDescent="0.25">
      <c r="A7" s="87" t="s">
        <v>124</v>
      </c>
    </row>
    <row r="8" spans="1:1" ht="6" customHeight="1" x14ac:dyDescent="0.25">
      <c r="A8" s="87"/>
    </row>
    <row r="9" spans="1:1" ht="69" x14ac:dyDescent="0.25">
      <c r="A9" s="89" t="s">
        <v>126</v>
      </c>
    </row>
    <row r="10" spans="1:1" ht="6" customHeight="1" x14ac:dyDescent="0.25">
      <c r="A10" s="87"/>
    </row>
    <row r="11" spans="1:1" ht="34.5" x14ac:dyDescent="0.25">
      <c r="A11" s="87" t="s">
        <v>127</v>
      </c>
    </row>
    <row r="12" spans="1:1" ht="31.5" customHeight="1" x14ac:dyDescent="0.25">
      <c r="A12" s="90"/>
    </row>
    <row r="13" spans="1:1" ht="18.75" x14ac:dyDescent="0.25">
      <c r="A13" s="91" t="s">
        <v>125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29"/>
  <sheetViews>
    <sheetView zoomScale="85" zoomScaleNormal="85" workbookViewId="0">
      <selection activeCell="H6" sqref="H6"/>
    </sheetView>
  </sheetViews>
  <sheetFormatPr defaultRowHeight="15" x14ac:dyDescent="0.25"/>
  <cols>
    <col min="1" max="1" width="7.28515625" style="10" bestFit="1" customWidth="1"/>
    <col min="2" max="2" width="13.85546875" style="10" bestFit="1" customWidth="1"/>
    <col min="3" max="3" width="28.28515625" style="10" customWidth="1"/>
    <col min="4" max="4" width="11.7109375" style="10" bestFit="1" customWidth="1"/>
    <col min="5" max="5" width="9.140625" style="10"/>
    <col min="6" max="6" width="10.7109375" style="10" bestFit="1" customWidth="1"/>
    <col min="7" max="7" width="10.5703125" style="10" customWidth="1"/>
    <col min="8" max="8" width="70.85546875" style="10" bestFit="1" customWidth="1"/>
    <col min="9" max="9" width="70.85546875" style="29" customWidth="1"/>
    <col min="10" max="10" width="18.42578125" style="10" bestFit="1" customWidth="1"/>
    <col min="11" max="11" width="13.42578125" style="10" bestFit="1" customWidth="1"/>
    <col min="12" max="12" width="11.5703125" style="10" hidden="1" customWidth="1"/>
    <col min="13" max="13" width="11.5703125" style="10" customWidth="1"/>
    <col min="14" max="14" width="12.85546875" style="10" bestFit="1" customWidth="1"/>
    <col min="15" max="15" width="71.5703125" style="10" customWidth="1"/>
    <col min="16" max="16" width="11.7109375" style="10" bestFit="1" customWidth="1"/>
    <col min="17" max="17" width="14.28515625" style="10" customWidth="1"/>
    <col min="18" max="18" width="9.7109375" style="10" hidden="1" customWidth="1"/>
    <col min="19" max="19" width="6.5703125" style="10" hidden="1" customWidth="1"/>
    <col min="20" max="21" width="11.42578125" style="10" hidden="1" customWidth="1"/>
    <col min="22" max="22" width="9.5703125" style="10" hidden="1" customWidth="1"/>
    <col min="23" max="23" width="11.28515625" style="10" hidden="1" customWidth="1"/>
    <col min="24" max="24" width="13.7109375" style="10" hidden="1" customWidth="1"/>
    <col min="25" max="25" width="11.42578125" style="10" hidden="1" customWidth="1"/>
    <col min="26" max="26" width="11.140625" style="10" hidden="1" customWidth="1"/>
    <col min="27" max="27" width="11.85546875" style="10" hidden="1" customWidth="1"/>
    <col min="28" max="28" width="11.28515625" style="10" hidden="1" customWidth="1"/>
    <col min="29" max="29" width="13.7109375" style="10" customWidth="1"/>
    <col min="30" max="30" width="15.140625" style="10" bestFit="1" customWidth="1"/>
    <col min="31" max="31" width="16" style="28" customWidth="1"/>
    <col min="32" max="32" width="10.5703125" style="10" customWidth="1"/>
    <col min="33" max="33" width="7" style="10" bestFit="1" customWidth="1"/>
    <col min="34" max="35" width="4.7109375" style="10" customWidth="1"/>
    <col min="36" max="36" width="19.28515625" style="10" bestFit="1" customWidth="1"/>
    <col min="37" max="37" width="26.5703125" style="10" bestFit="1" customWidth="1"/>
    <col min="38" max="38" width="15.140625" style="10" customWidth="1"/>
    <col min="39" max="39" width="15.5703125" style="10" customWidth="1"/>
    <col min="40" max="40" width="14.42578125" style="10" customWidth="1"/>
    <col min="41" max="41" width="33.28515625" style="10" bestFit="1" customWidth="1"/>
    <col min="42" max="42" width="17.7109375" style="10" bestFit="1" customWidth="1"/>
    <col min="43" max="43" width="42.28515625" style="10" bestFit="1" customWidth="1"/>
    <col min="44" max="44" width="23.42578125" style="10" bestFit="1" customWidth="1"/>
    <col min="45" max="45" width="31.140625" style="10" bestFit="1" customWidth="1"/>
    <col min="46" max="46" width="47.140625" style="10" bestFit="1" customWidth="1"/>
    <col min="47" max="47" width="12" style="10" bestFit="1" customWidth="1"/>
    <col min="48" max="16384" width="9.140625" style="10"/>
  </cols>
  <sheetData>
    <row r="1" spans="1:40" ht="21.75" thickBot="1" x14ac:dyDescent="0.4">
      <c r="B1" s="27" t="s">
        <v>81</v>
      </c>
      <c r="C1" s="69" t="s">
        <v>73</v>
      </c>
      <c r="D1" s="70"/>
      <c r="E1" s="70"/>
      <c r="F1" s="70"/>
      <c r="G1" s="70"/>
      <c r="H1" s="71"/>
      <c r="I1" s="16"/>
    </row>
    <row r="3" spans="1:40" ht="21" x14ac:dyDescent="0.35">
      <c r="B3" s="72" t="s">
        <v>2</v>
      </c>
      <c r="C3" s="72"/>
      <c r="D3" s="72"/>
      <c r="E3" s="72"/>
    </row>
    <row r="4" spans="1:40" ht="37.5" x14ac:dyDescent="0.3">
      <c r="B4" s="30" t="s">
        <v>111</v>
      </c>
      <c r="C4" s="31" t="s">
        <v>80</v>
      </c>
      <c r="D4" s="32" t="s">
        <v>79</v>
      </c>
      <c r="E4" s="32" t="s">
        <v>3</v>
      </c>
      <c r="G4" s="33" t="s">
        <v>4</v>
      </c>
    </row>
    <row r="5" spans="1:40" x14ac:dyDescent="0.25">
      <c r="A5" s="73"/>
      <c r="B5" s="74">
        <v>1</v>
      </c>
      <c r="C5" s="34" t="s">
        <v>1</v>
      </c>
      <c r="D5" s="35">
        <f>INDEX(Reference!$C:$G,MATCH($C$1,Reference!$B:$B,0),ROW()-ROW($B$4))</f>
        <v>1.8257418583505498E-2</v>
      </c>
      <c r="E5" s="35"/>
      <c r="G5" s="77">
        <f>D5*(0.4*10^D6+0.2*10^D7+0.2*10^D8+0.2*10^D9)</f>
        <v>7379.6485914529221</v>
      </c>
      <c r="J5" s="36"/>
    </row>
    <row r="6" spans="1:40" x14ac:dyDescent="0.25">
      <c r="A6" s="73"/>
      <c r="B6" s="75"/>
      <c r="C6" s="34" t="s">
        <v>5</v>
      </c>
      <c r="D6" s="37">
        <f>INDEX(Reference!$C:$G,MATCH($C$1,Reference!$B:$B,0),ROW()-ROW($B$4))</f>
        <v>6</v>
      </c>
      <c r="E6" s="14"/>
      <c r="G6" s="78"/>
    </row>
    <row r="7" spans="1:40" x14ac:dyDescent="0.25">
      <c r="A7" s="73"/>
      <c r="B7" s="75"/>
      <c r="C7" s="34" t="s">
        <v>6</v>
      </c>
      <c r="D7" s="37">
        <f>INDEX(Reference!$C:$G,MATCH($C$1,Reference!$B:$B,0),ROW()-ROW($B$4))</f>
        <v>4</v>
      </c>
      <c r="E7" s="14"/>
      <c r="G7" s="78"/>
    </row>
    <row r="8" spans="1:40" x14ac:dyDescent="0.25">
      <c r="A8" s="73"/>
      <c r="B8" s="75"/>
      <c r="C8" s="34" t="s">
        <v>7</v>
      </c>
      <c r="D8" s="37">
        <f>INDEX(Reference!$C:$G,MATCH($C$1,Reference!$B:$B,0),ROW()-ROW($B$4))</f>
        <v>3</v>
      </c>
      <c r="E8" s="14"/>
      <c r="G8" s="78"/>
    </row>
    <row r="9" spans="1:40" x14ac:dyDescent="0.25">
      <c r="A9" s="73"/>
      <c r="B9" s="76"/>
      <c r="C9" s="34" t="s">
        <v>8</v>
      </c>
      <c r="D9" s="37">
        <f>INDEX(Reference!$C:$G,MATCH($C$1,Reference!$B:$B,0),ROW()-ROW($B$4))</f>
        <v>4</v>
      </c>
      <c r="E9" s="14"/>
      <c r="G9" s="79"/>
    </row>
    <row r="10" spans="1:40" x14ac:dyDescent="0.25">
      <c r="AD10" s="28"/>
      <c r="AE10" s="10"/>
    </row>
    <row r="11" spans="1:40" x14ac:dyDescent="0.25">
      <c r="C11" s="38"/>
      <c r="D11" s="38"/>
      <c r="E11" s="38"/>
      <c r="F11" s="38"/>
      <c r="G11" s="38"/>
      <c r="H11" s="38"/>
      <c r="P11" s="10" t="s">
        <v>66</v>
      </c>
      <c r="Q11" s="39">
        <f>D5</f>
        <v>1.8257418583505498E-2</v>
      </c>
      <c r="R11" s="10">
        <f>D6</f>
        <v>6</v>
      </c>
      <c r="S11" s="10">
        <f>D7</f>
        <v>4</v>
      </c>
      <c r="T11" s="10">
        <f>D8</f>
        <v>3</v>
      </c>
      <c r="U11" s="10">
        <f>D9</f>
        <v>4</v>
      </c>
      <c r="V11" s="40"/>
      <c r="AD11" s="28"/>
      <c r="AE11" s="10"/>
    </row>
    <row r="12" spans="1:40" x14ac:dyDescent="0.25">
      <c r="C12" s="38"/>
      <c r="D12" s="38"/>
      <c r="E12" s="38"/>
      <c r="F12" s="38"/>
      <c r="G12" s="38"/>
      <c r="H12" s="38"/>
      <c r="I12" s="41"/>
      <c r="J12" s="81" t="s">
        <v>9</v>
      </c>
      <c r="K12" s="81"/>
      <c r="L12" s="42"/>
      <c r="M12" s="11"/>
      <c r="N12" s="11"/>
      <c r="O12" s="11"/>
      <c r="P12" s="11"/>
      <c r="Q12" s="43"/>
      <c r="R12" s="44">
        <v>0.4</v>
      </c>
      <c r="S12" s="44">
        <v>0.2</v>
      </c>
      <c r="T12" s="44">
        <v>0.2</v>
      </c>
      <c r="U12" s="44">
        <v>0.2</v>
      </c>
      <c r="V12" s="80" t="s">
        <v>69</v>
      </c>
      <c r="W12" s="80"/>
      <c r="X12" s="80"/>
      <c r="Y12" s="80"/>
      <c r="Z12" s="11"/>
      <c r="AA12" s="11"/>
      <c r="AB12" s="11"/>
      <c r="AC12" s="11"/>
      <c r="AD12" s="45"/>
      <c r="AE12" s="11"/>
      <c r="AF12" s="11"/>
      <c r="AG12" s="11"/>
      <c r="AH12" s="11"/>
      <c r="AI12" s="11"/>
      <c r="AJ12" s="11" t="s">
        <v>78</v>
      </c>
      <c r="AK12" s="10" t="s">
        <v>121</v>
      </c>
      <c r="AL12" s="10" t="s">
        <v>65</v>
      </c>
      <c r="AM12" s="11" t="s">
        <v>119</v>
      </c>
      <c r="AN12" s="11" t="s">
        <v>81</v>
      </c>
    </row>
    <row r="13" spans="1:40" s="29" customFormat="1" ht="45" x14ac:dyDescent="0.25">
      <c r="C13" s="33" t="s">
        <v>112</v>
      </c>
      <c r="D13" s="12" t="s">
        <v>10</v>
      </c>
      <c r="G13" s="33" t="s">
        <v>11</v>
      </c>
      <c r="H13" s="33" t="s">
        <v>12</v>
      </c>
      <c r="I13" s="33" t="s">
        <v>103</v>
      </c>
      <c r="J13" s="12" t="s">
        <v>114</v>
      </c>
      <c r="K13" s="12" t="s">
        <v>115</v>
      </c>
      <c r="L13" s="12" t="s">
        <v>15</v>
      </c>
      <c r="M13" s="33" t="s">
        <v>16</v>
      </c>
      <c r="N13" s="12" t="s">
        <v>17</v>
      </c>
      <c r="O13" s="12" t="s">
        <v>116</v>
      </c>
      <c r="P13" s="33" t="s">
        <v>117</v>
      </c>
      <c r="Q13" s="33" t="s">
        <v>67</v>
      </c>
      <c r="R13" s="33" t="s">
        <v>18</v>
      </c>
      <c r="S13" s="33" t="s">
        <v>19</v>
      </c>
      <c r="T13" s="33" t="s">
        <v>20</v>
      </c>
      <c r="U13" s="33" t="s">
        <v>0</v>
      </c>
      <c r="V13" s="33" t="s">
        <v>18</v>
      </c>
      <c r="W13" s="33" t="s">
        <v>19</v>
      </c>
      <c r="X13" s="33" t="s">
        <v>20</v>
      </c>
      <c r="Y13" s="33" t="s">
        <v>0</v>
      </c>
      <c r="Z13" s="33" t="s">
        <v>68</v>
      </c>
      <c r="AA13" s="33" t="s">
        <v>118</v>
      </c>
      <c r="AB13" s="33" t="s">
        <v>71</v>
      </c>
      <c r="AC13" s="33" t="str">
        <f>IF(D17=1,"Calibrated, ","")&amp;"Weighted New Score"</f>
        <v>Weighted New Score</v>
      </c>
      <c r="AD13" s="46" t="s">
        <v>64</v>
      </c>
      <c r="AE13" s="33" t="s">
        <v>119</v>
      </c>
      <c r="AF13" s="33" t="s">
        <v>70</v>
      </c>
      <c r="AG13" s="33"/>
      <c r="AH13" s="33"/>
      <c r="AI13" s="33"/>
      <c r="AJ13" s="47"/>
      <c r="AK13" s="29">
        <v>0</v>
      </c>
      <c r="AL13" s="29">
        <v>0</v>
      </c>
    </row>
    <row r="14" spans="1:40" ht="90" x14ac:dyDescent="0.25">
      <c r="C14" s="14" t="s">
        <v>113</v>
      </c>
      <c r="D14" s="14">
        <v>0</v>
      </c>
      <c r="F14" s="48">
        <v>42662</v>
      </c>
      <c r="G14" s="14" t="s">
        <v>75</v>
      </c>
      <c r="H14" s="13" t="s">
        <v>90</v>
      </c>
      <c r="I14" s="13" t="s">
        <v>91</v>
      </c>
      <c r="J14" s="26">
        <f>'[1]Revised cost ranges'!$F$27</f>
        <v>0</v>
      </c>
      <c r="K14" s="26">
        <f>'[1]Revised cost ranges'!$I$27</f>
        <v>137</v>
      </c>
      <c r="L14" s="26"/>
      <c r="M14" s="14" t="s">
        <v>77</v>
      </c>
      <c r="N14" s="14">
        <v>1</v>
      </c>
      <c r="O14" s="13" t="s">
        <v>102</v>
      </c>
      <c r="P14" s="49">
        <f>(D27-D28)/D27*100</f>
        <v>68.377223398316119</v>
      </c>
      <c r="Q14" s="50">
        <f>$D$5*(1-($P14/100))</f>
        <v>5.7735026918962606E-3</v>
      </c>
      <c r="R14" s="14">
        <v>0</v>
      </c>
      <c r="S14" s="37">
        <v>0</v>
      </c>
      <c r="T14" s="37">
        <v>0</v>
      </c>
      <c r="U14" s="37">
        <v>0</v>
      </c>
      <c r="V14" s="51">
        <f t="shared" ref="V14:Y14" si="0">(R$12)* ((10^R$11)*(1-(R14/100)))</f>
        <v>400000</v>
      </c>
      <c r="W14" s="51">
        <f t="shared" si="0"/>
        <v>2000</v>
      </c>
      <c r="X14" s="51">
        <f t="shared" si="0"/>
        <v>200</v>
      </c>
      <c r="Y14" s="51">
        <f t="shared" si="0"/>
        <v>2000</v>
      </c>
      <c r="Z14" s="52">
        <f>Q14*SUM(V14:Y14)</f>
        <v>2333.6497880644683</v>
      </c>
      <c r="AA14" s="52">
        <f>($G$5-Z14)*N14</f>
        <v>5045.9988033884538</v>
      </c>
      <c r="AB14" s="53"/>
      <c r="AC14" s="54">
        <f>IF($D$15=1,AA14*AB14*IF($D$17=1,$B$5,1),AA14*IF($D$17=1,$B$5,1))</f>
        <v>5045.9988033884538</v>
      </c>
      <c r="AD14" s="55">
        <f>J14+K14*N14</f>
        <v>137</v>
      </c>
      <c r="AE14" s="15">
        <f>AC14/AD14</f>
        <v>36.83210805393032</v>
      </c>
      <c r="AF14" s="56">
        <f>RANK(AE14,$AE$14:$AE$15)</f>
        <v>1</v>
      </c>
      <c r="AG14" s="15"/>
      <c r="AH14" s="14"/>
      <c r="AI14" s="14"/>
      <c r="AJ14" s="57" t="str">
        <f>INDEX($G$14:$G$18,MATCH(ROW()-ROW($AK$13),$AF$14:$AF$18,0))</f>
        <v>P1</v>
      </c>
      <c r="AK14" s="58">
        <f t="shared" ref="AK14:AL14" si="1">IF(INDEX($M$14:$M$18,MATCH(ROW()-ROW($AK$13),$AF$14:$AF$18,0))="new",1,-1)*INDEX(AC$14:AC$18,MATCH(ROW()-ROW($AK$13),$AF$14:$AF$18,0))+AK13</f>
        <v>5045.9988033884538</v>
      </c>
      <c r="AL14" s="58">
        <f t="shared" si="1"/>
        <v>137</v>
      </c>
      <c r="AM14" s="10">
        <f>INDEX(AE:AE,MATCH(AJ14,G:G,0))</f>
        <v>36.83210805393032</v>
      </c>
      <c r="AN14" s="10" t="str">
        <f>AJ14&amp;" - "&amp;INDEX(H:H,MATCH(AJ14,G:G,0))</f>
        <v>P1 - Effective UAS Safety program (SMS, asset improvements, public information)</v>
      </c>
    </row>
    <row r="15" spans="1:40" x14ac:dyDescent="0.25">
      <c r="C15" s="14" t="s">
        <v>21</v>
      </c>
      <c r="D15" s="14">
        <v>0</v>
      </c>
      <c r="G15" s="14"/>
      <c r="H15" s="14"/>
      <c r="I15" s="13"/>
      <c r="J15" s="26"/>
      <c r="K15" s="26"/>
      <c r="L15" s="26"/>
      <c r="M15" s="14"/>
      <c r="N15" s="14"/>
      <c r="O15" s="13"/>
      <c r="P15" s="49"/>
      <c r="Q15" s="50"/>
      <c r="R15" s="37"/>
      <c r="S15" s="37"/>
      <c r="T15" s="37"/>
      <c r="U15" s="37"/>
      <c r="V15" s="51"/>
      <c r="W15" s="51"/>
      <c r="X15" s="51"/>
      <c r="Y15" s="51"/>
      <c r="Z15" s="52"/>
      <c r="AA15" s="52"/>
      <c r="AB15" s="53"/>
      <c r="AC15" s="54"/>
      <c r="AD15" s="55"/>
      <c r="AE15" s="15"/>
      <c r="AF15" s="56"/>
      <c r="AG15" s="59"/>
      <c r="AH15" s="15"/>
      <c r="AI15" s="60"/>
      <c r="AJ15" s="57"/>
      <c r="AK15" s="58"/>
      <c r="AL15" s="58"/>
    </row>
    <row r="16" spans="1:40" x14ac:dyDescent="0.25">
      <c r="C16" s="14" t="s">
        <v>22</v>
      </c>
      <c r="D16" s="14">
        <v>0</v>
      </c>
      <c r="G16" s="14"/>
      <c r="H16" s="14"/>
      <c r="I16" s="13"/>
      <c r="J16" s="26"/>
      <c r="K16" s="26"/>
      <c r="L16" s="26"/>
      <c r="M16" s="14"/>
      <c r="N16" s="14"/>
      <c r="O16" s="14"/>
      <c r="P16" s="49"/>
      <c r="Q16" s="50"/>
      <c r="R16" s="37"/>
      <c r="S16" s="37"/>
      <c r="T16" s="37"/>
      <c r="U16" s="37"/>
      <c r="V16" s="51"/>
      <c r="W16" s="51"/>
      <c r="X16" s="51"/>
      <c r="Y16" s="51"/>
      <c r="Z16" s="52"/>
      <c r="AA16" s="52"/>
      <c r="AB16" s="53"/>
      <c r="AC16" s="54"/>
      <c r="AD16" s="55"/>
      <c r="AE16" s="15"/>
      <c r="AF16" s="56"/>
      <c r="AG16" s="59"/>
      <c r="AH16" s="15"/>
      <c r="AI16" s="60"/>
      <c r="AJ16" s="57"/>
      <c r="AK16" s="58"/>
      <c r="AL16" s="58"/>
    </row>
    <row r="17" spans="3:38" x14ac:dyDescent="0.25">
      <c r="C17" s="14" t="s">
        <v>111</v>
      </c>
      <c r="D17" s="14">
        <v>0</v>
      </c>
      <c r="G17" s="14"/>
      <c r="H17" s="14"/>
      <c r="I17" s="13"/>
      <c r="J17" s="26"/>
      <c r="K17" s="26"/>
      <c r="L17" s="26"/>
      <c r="M17" s="14"/>
      <c r="N17" s="14"/>
      <c r="O17" s="14"/>
      <c r="P17" s="49"/>
      <c r="Q17" s="50"/>
      <c r="R17" s="37"/>
      <c r="S17" s="37"/>
      <c r="T17" s="37"/>
      <c r="U17" s="37"/>
      <c r="V17" s="51"/>
      <c r="W17" s="51"/>
      <c r="X17" s="51"/>
      <c r="Y17" s="51"/>
      <c r="Z17" s="52"/>
      <c r="AA17" s="52"/>
      <c r="AB17" s="53"/>
      <c r="AC17" s="54"/>
      <c r="AD17" s="55"/>
      <c r="AE17" s="15"/>
      <c r="AF17" s="56"/>
      <c r="AG17" s="59"/>
      <c r="AH17" s="15"/>
      <c r="AI17" s="60"/>
      <c r="AJ17" s="57"/>
      <c r="AK17" s="58"/>
      <c r="AL17" s="58"/>
    </row>
    <row r="18" spans="3:38" x14ac:dyDescent="0.25">
      <c r="C18" s="57"/>
      <c r="D18" s="57"/>
      <c r="G18" s="14"/>
      <c r="H18" s="14"/>
      <c r="I18" s="13"/>
      <c r="J18" s="26"/>
      <c r="K18" s="26"/>
      <c r="L18" s="26"/>
      <c r="M18" s="14"/>
      <c r="N18" s="14"/>
      <c r="O18" s="14"/>
      <c r="P18" s="49"/>
      <c r="Q18" s="50"/>
      <c r="R18" s="37"/>
      <c r="S18" s="37"/>
      <c r="T18" s="37"/>
      <c r="U18" s="37"/>
      <c r="V18" s="51"/>
      <c r="W18" s="51"/>
      <c r="X18" s="51"/>
      <c r="Y18" s="51"/>
      <c r="Z18" s="52"/>
      <c r="AA18" s="52"/>
      <c r="AB18" s="53"/>
      <c r="AC18" s="54"/>
      <c r="AD18" s="55"/>
      <c r="AE18" s="15"/>
      <c r="AF18" s="56"/>
      <c r="AG18" s="59"/>
      <c r="AH18" s="15"/>
      <c r="AI18" s="60"/>
      <c r="AJ18" s="57"/>
      <c r="AK18" s="58"/>
      <c r="AL18" s="58"/>
    </row>
    <row r="19" spans="3:38" x14ac:dyDescent="0.25">
      <c r="G19" s="14"/>
      <c r="H19" s="14"/>
      <c r="I19" s="13"/>
      <c r="J19" s="26"/>
      <c r="K19" s="26"/>
      <c r="L19" s="26"/>
      <c r="M19" s="14"/>
      <c r="N19" s="14"/>
      <c r="O19" s="14"/>
      <c r="P19" s="49"/>
      <c r="Q19" s="49"/>
      <c r="R19" s="37"/>
      <c r="S19" s="37"/>
      <c r="T19" s="37"/>
      <c r="U19" s="37"/>
      <c r="V19" s="51"/>
      <c r="W19" s="51"/>
      <c r="X19" s="51"/>
      <c r="Y19" s="51"/>
      <c r="Z19" s="52"/>
      <c r="AA19" s="52"/>
      <c r="AB19" s="53"/>
      <c r="AC19" s="54"/>
      <c r="AD19" s="55"/>
      <c r="AE19" s="15"/>
      <c r="AF19" s="15"/>
      <c r="AG19" s="59"/>
      <c r="AH19" s="15"/>
      <c r="AI19" s="60"/>
      <c r="AJ19" s="61"/>
      <c r="AK19" s="61"/>
    </row>
    <row r="20" spans="3:38" x14ac:dyDescent="0.25">
      <c r="G20" s="14"/>
      <c r="H20" s="14"/>
      <c r="I20" s="13"/>
      <c r="J20" s="26"/>
      <c r="K20" s="26"/>
      <c r="L20" s="26"/>
      <c r="M20" s="14"/>
      <c r="N20" s="14"/>
      <c r="O20" s="14"/>
      <c r="P20" s="49"/>
      <c r="Q20" s="49"/>
      <c r="R20" s="37"/>
      <c r="S20" s="37"/>
      <c r="T20" s="37"/>
      <c r="U20" s="37"/>
      <c r="V20" s="51"/>
      <c r="W20" s="51"/>
      <c r="X20" s="51"/>
      <c r="Y20" s="51"/>
      <c r="Z20" s="52"/>
      <c r="AA20" s="52"/>
      <c r="AB20" s="53"/>
      <c r="AC20" s="54"/>
      <c r="AD20" s="55"/>
      <c r="AE20" s="15"/>
      <c r="AF20" s="56"/>
      <c r="AG20" s="59"/>
      <c r="AH20" s="15"/>
      <c r="AI20" s="60"/>
      <c r="AJ20" s="57"/>
      <c r="AK20" s="58"/>
      <c r="AL20" s="58"/>
    </row>
    <row r="21" spans="3:38" x14ac:dyDescent="0.25">
      <c r="C21" s="81" t="s">
        <v>23</v>
      </c>
      <c r="D21" s="81"/>
      <c r="E21" s="32" t="s">
        <v>103</v>
      </c>
      <c r="G21" s="14"/>
      <c r="H21" s="14"/>
      <c r="I21" s="13"/>
      <c r="J21" s="26"/>
      <c r="K21" s="26"/>
      <c r="L21" s="26"/>
      <c r="M21" s="14"/>
      <c r="N21" s="14"/>
      <c r="O21" s="14"/>
      <c r="P21" s="49"/>
      <c r="Q21" s="49"/>
      <c r="R21" s="37"/>
      <c r="S21" s="37"/>
      <c r="T21" s="37"/>
      <c r="U21" s="37"/>
      <c r="V21" s="51"/>
      <c r="W21" s="51"/>
      <c r="X21" s="51"/>
      <c r="Y21" s="51"/>
      <c r="Z21" s="52"/>
      <c r="AA21" s="52"/>
      <c r="AB21" s="53"/>
      <c r="AC21" s="54"/>
      <c r="AD21" s="55"/>
      <c r="AE21" s="15"/>
      <c r="AF21" s="56"/>
      <c r="AG21" s="59"/>
      <c r="AH21" s="15"/>
      <c r="AI21" s="60"/>
      <c r="AJ21" s="57"/>
      <c r="AK21" s="58"/>
      <c r="AL21" s="58"/>
    </row>
    <row r="22" spans="3:38" x14ac:dyDescent="0.25">
      <c r="C22" s="19">
        <v>7</v>
      </c>
      <c r="D22" s="13">
        <v>31.6227766016838</v>
      </c>
      <c r="E22" s="14" t="s">
        <v>104</v>
      </c>
      <c r="G22" s="14"/>
      <c r="H22" s="14"/>
      <c r="I22" s="13"/>
      <c r="J22" s="26"/>
      <c r="K22" s="26"/>
      <c r="L22" s="26"/>
      <c r="M22" s="14"/>
      <c r="N22" s="14"/>
      <c r="O22" s="14"/>
      <c r="P22" s="49"/>
      <c r="Q22" s="49"/>
      <c r="R22" s="37"/>
      <c r="S22" s="37"/>
      <c r="T22" s="37"/>
      <c r="U22" s="37"/>
      <c r="V22" s="51"/>
      <c r="W22" s="51"/>
      <c r="X22" s="51"/>
      <c r="Y22" s="51"/>
      <c r="Z22" s="52"/>
      <c r="AA22" s="52"/>
      <c r="AB22" s="53"/>
      <c r="AC22" s="54"/>
      <c r="AD22" s="55"/>
      <c r="AE22" s="15"/>
      <c r="AF22" s="56"/>
      <c r="AG22" s="59"/>
      <c r="AH22" s="15"/>
      <c r="AI22" s="60"/>
      <c r="AJ22" s="57"/>
      <c r="AK22" s="58"/>
      <c r="AL22" s="58"/>
    </row>
    <row r="23" spans="3:38" x14ac:dyDescent="0.25">
      <c r="C23" s="19">
        <v>6</v>
      </c>
      <c r="D23" s="13">
        <v>3.16227766016838</v>
      </c>
      <c r="E23" s="14" t="s">
        <v>105</v>
      </c>
      <c r="G23" s="14"/>
      <c r="H23" s="14"/>
      <c r="I23" s="13"/>
      <c r="J23" s="26"/>
      <c r="K23" s="26"/>
      <c r="L23" s="26"/>
      <c r="M23" s="14"/>
      <c r="N23" s="14"/>
      <c r="O23" s="14"/>
      <c r="P23" s="49"/>
      <c r="Q23" s="49"/>
      <c r="R23" s="37"/>
      <c r="S23" s="37"/>
      <c r="T23" s="37"/>
      <c r="U23" s="37"/>
      <c r="V23" s="51"/>
      <c r="W23" s="51"/>
      <c r="X23" s="51"/>
      <c r="Y23" s="51"/>
      <c r="Z23" s="52"/>
      <c r="AA23" s="52"/>
      <c r="AB23" s="53"/>
      <c r="AC23" s="54"/>
      <c r="AD23" s="55"/>
      <c r="AE23" s="15"/>
      <c r="AF23" s="56"/>
      <c r="AG23" s="59"/>
      <c r="AH23" s="15"/>
      <c r="AI23" s="60"/>
      <c r="AJ23" s="57"/>
      <c r="AK23" s="58"/>
      <c r="AL23" s="58"/>
    </row>
    <row r="24" spans="3:38" x14ac:dyDescent="0.25">
      <c r="C24" s="19">
        <v>5</v>
      </c>
      <c r="D24" s="13">
        <v>0.57735026918962595</v>
      </c>
      <c r="E24" s="14" t="s">
        <v>106</v>
      </c>
      <c r="G24" s="14"/>
      <c r="H24" s="14"/>
      <c r="I24" s="13"/>
      <c r="J24" s="26"/>
      <c r="K24" s="26"/>
      <c r="L24" s="26"/>
      <c r="M24" s="14"/>
      <c r="N24" s="14"/>
      <c r="O24" s="14"/>
      <c r="P24" s="49"/>
      <c r="Q24" s="49"/>
      <c r="R24" s="37"/>
      <c r="S24" s="37"/>
      <c r="T24" s="37"/>
      <c r="U24" s="37"/>
      <c r="V24" s="51"/>
      <c r="W24" s="51"/>
      <c r="X24" s="51"/>
      <c r="Y24" s="51"/>
      <c r="Z24" s="52"/>
      <c r="AA24" s="52"/>
      <c r="AB24" s="53"/>
      <c r="AC24" s="54"/>
      <c r="AD24" s="55"/>
      <c r="AE24" s="15"/>
      <c r="AF24" s="56"/>
      <c r="AG24" s="59"/>
      <c r="AH24" s="15"/>
      <c r="AI24" s="60"/>
      <c r="AJ24" s="57"/>
      <c r="AK24" s="58"/>
      <c r="AL24" s="58"/>
    </row>
    <row r="25" spans="3:38" x14ac:dyDescent="0.25">
      <c r="C25" s="19">
        <v>4</v>
      </c>
      <c r="D25" s="13">
        <v>0.182574185835055</v>
      </c>
      <c r="E25" s="14" t="s">
        <v>107</v>
      </c>
      <c r="AD25" s="28"/>
      <c r="AE25" s="10"/>
    </row>
    <row r="26" spans="3:38" x14ac:dyDescent="0.25">
      <c r="C26" s="19">
        <v>3</v>
      </c>
      <c r="D26" s="13">
        <v>5.7735026918962602E-2</v>
      </c>
      <c r="E26" s="14" t="s">
        <v>108</v>
      </c>
      <c r="AD26" s="28"/>
      <c r="AE26" s="10"/>
    </row>
    <row r="27" spans="3:38" x14ac:dyDescent="0.25">
      <c r="C27" s="19">
        <v>2</v>
      </c>
      <c r="D27" s="13">
        <v>1.8257418583505498E-2</v>
      </c>
      <c r="E27" s="14" t="s">
        <v>109</v>
      </c>
      <c r="AD27" s="28"/>
      <c r="AE27" s="10"/>
    </row>
    <row r="28" spans="3:38" x14ac:dyDescent="0.25">
      <c r="C28" s="19">
        <v>1</v>
      </c>
      <c r="D28" s="13">
        <f>D26/10</f>
        <v>5.7735026918962606E-3</v>
      </c>
      <c r="E28" s="14" t="s">
        <v>110</v>
      </c>
      <c r="AD28" s="28"/>
      <c r="AE28" s="10"/>
    </row>
    <row r="29" spans="3:38" x14ac:dyDescent="0.25">
      <c r="AD29" s="28"/>
      <c r="AE29" s="10"/>
    </row>
  </sheetData>
  <sheetProtection algorithmName="SHA-512" hashValue="ujUX9SSawDO6Zqo5lz2fhinB8TYDq508CJ+au1xMvi8+Ku6bcjx/8A/Zvu9w/5O/NiR3xy6vk4GGsR2i+F7wXA==" saltValue="g6BOxTtKeFNR8c5zIixieQ==" spinCount="100000" sheet="1" objects="1" scenarios="1"/>
  <mergeCells count="8">
    <mergeCell ref="V12:Y12"/>
    <mergeCell ref="C21:D21"/>
    <mergeCell ref="J12:K12"/>
    <mergeCell ref="C1:H1"/>
    <mergeCell ref="B3:E3"/>
    <mergeCell ref="A5:A9"/>
    <mergeCell ref="B5:B9"/>
    <mergeCell ref="G5:G9"/>
  </mergeCells>
  <dataValidations count="1">
    <dataValidation type="list" allowBlank="1" showInputMessage="1" showErrorMessage="1" sqref="M14:M24">
      <formula1>"New, Existing"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6"/>
  <sheetViews>
    <sheetView workbookViewId="0">
      <selection activeCell="E18" sqref="E18"/>
    </sheetView>
  </sheetViews>
  <sheetFormatPr defaultRowHeight="15" x14ac:dyDescent="0.25"/>
  <cols>
    <col min="1" max="1" width="12" style="10" customWidth="1"/>
    <col min="2" max="2" width="36.5703125" style="10" customWidth="1"/>
    <col min="3" max="3" width="15.7109375" style="10" customWidth="1"/>
    <col min="4" max="4" width="12.5703125" style="10" customWidth="1"/>
    <col min="5" max="5" width="10.7109375" style="10" customWidth="1"/>
    <col min="6" max="6" width="10.5703125" style="10" customWidth="1"/>
    <col min="7" max="7" width="12.42578125" style="10" customWidth="1"/>
    <col min="8" max="8" width="12.28515625" style="10" bestFit="1" customWidth="1"/>
    <col min="9" max="9" width="15" style="10" bestFit="1" customWidth="1"/>
    <col min="10" max="10" width="16.7109375" style="10" customWidth="1"/>
    <col min="11" max="11" width="13.85546875" style="10" customWidth="1"/>
    <col min="12" max="16384" width="9.140625" style="10"/>
  </cols>
  <sheetData>
    <row r="1" spans="1:16" ht="45" x14ac:dyDescent="0.25">
      <c r="A1" s="33" t="s">
        <v>11</v>
      </c>
      <c r="B1" s="33" t="s">
        <v>12</v>
      </c>
      <c r="C1" s="33"/>
      <c r="D1" s="12" t="s">
        <v>13</v>
      </c>
      <c r="E1" s="12" t="s">
        <v>14</v>
      </c>
      <c r="F1" s="33" t="s">
        <v>16</v>
      </c>
      <c r="G1" s="12" t="s">
        <v>17</v>
      </c>
      <c r="H1" s="46" t="s">
        <v>84</v>
      </c>
      <c r="I1" s="10" t="s">
        <v>119</v>
      </c>
      <c r="J1" s="29" t="s">
        <v>120</v>
      </c>
      <c r="K1" s="10" t="s">
        <v>85</v>
      </c>
      <c r="M1" s="10" t="s">
        <v>86</v>
      </c>
      <c r="N1" s="10" t="s">
        <v>68</v>
      </c>
      <c r="O1" s="10" t="s">
        <v>87</v>
      </c>
      <c r="P1" s="10" t="s">
        <v>88</v>
      </c>
    </row>
    <row r="2" spans="1:16" ht="15.75" customHeight="1" x14ac:dyDescent="0.25">
      <c r="A2" s="14" t="s">
        <v>75</v>
      </c>
      <c r="B2" s="14" t="s">
        <v>96</v>
      </c>
      <c r="C2" s="62"/>
      <c r="D2" s="26">
        <f>Analysis!J14</f>
        <v>0</v>
      </c>
      <c r="E2" s="26">
        <v>37.5</v>
      </c>
      <c r="F2" s="14" t="s">
        <v>77</v>
      </c>
      <c r="G2" s="14">
        <v>1</v>
      </c>
      <c r="H2" s="63">
        <f>D2+E2*G2</f>
        <v>37.5</v>
      </c>
      <c r="I2" s="58">
        <f>Analysis!$AE$14</f>
        <v>36.83210805393032</v>
      </c>
      <c r="J2" s="10">
        <f>I2*H2</f>
        <v>1381.204052022387</v>
      </c>
      <c r="K2" s="10">
        <v>1</v>
      </c>
      <c r="N2" s="10">
        <v>0</v>
      </c>
      <c r="O2" s="10">
        <v>0</v>
      </c>
    </row>
    <row r="3" spans="1:16" ht="15.75" customHeight="1" x14ac:dyDescent="0.25">
      <c r="A3" s="14" t="s">
        <v>76</v>
      </c>
      <c r="B3" s="14" t="s">
        <v>97</v>
      </c>
      <c r="C3" s="64"/>
      <c r="D3" s="26">
        <f>Analysis!J15</f>
        <v>0</v>
      </c>
      <c r="E3" s="26">
        <v>18</v>
      </c>
      <c r="F3" s="14" t="s">
        <v>77</v>
      </c>
      <c r="G3" s="14">
        <v>1</v>
      </c>
      <c r="H3" s="63">
        <f t="shared" ref="H3:H9" si="0">D3+E3*G3</f>
        <v>18</v>
      </c>
      <c r="I3" s="58">
        <f>Analysis!$AE$14</f>
        <v>36.83210805393032</v>
      </c>
      <c r="J3" s="10">
        <f t="shared" ref="J3:J7" si="1">I3*H3</f>
        <v>662.97794497074574</v>
      </c>
      <c r="K3" s="10">
        <v>4</v>
      </c>
      <c r="M3" s="10" t="str">
        <f>INDEX(A:A,MATCH(ROW()-ROW($M$2),K:K,0))</f>
        <v>P1</v>
      </c>
      <c r="N3" s="10">
        <f>INDEX(J:J,MATCH(M3,A:A,0))</f>
        <v>1381.204052022387</v>
      </c>
      <c r="O3" s="10">
        <f>INDEX(H:H,MATCH(M3,A:A,0))</f>
        <v>37.5</v>
      </c>
      <c r="P3" s="28"/>
    </row>
    <row r="4" spans="1:16" x14ac:dyDescent="0.25">
      <c r="A4" s="14" t="s">
        <v>92</v>
      </c>
      <c r="B4" s="14" t="s">
        <v>98</v>
      </c>
      <c r="C4" s="64"/>
      <c r="D4" s="26">
        <f>Analysis!J16</f>
        <v>0</v>
      </c>
      <c r="E4" s="26">
        <v>26</v>
      </c>
      <c r="F4" s="14" t="s">
        <v>77</v>
      </c>
      <c r="G4" s="14">
        <v>1</v>
      </c>
      <c r="H4" s="63">
        <f t="shared" si="0"/>
        <v>26</v>
      </c>
      <c r="I4" s="58">
        <f>Analysis!$AE$14</f>
        <v>36.83210805393032</v>
      </c>
      <c r="J4" s="10">
        <f t="shared" si="1"/>
        <v>957.63480940218835</v>
      </c>
      <c r="K4" s="10">
        <v>2</v>
      </c>
      <c r="M4" s="10" t="str">
        <f t="shared" ref="M4:M8" si="2">INDEX(A:A,MATCH(ROW()-ROW($M$2),K:K,0))</f>
        <v>P3</v>
      </c>
      <c r="N4" s="10">
        <f>INDEX(J:J,MATCH(M4,A:A,0))+N3</f>
        <v>2338.8388614245755</v>
      </c>
      <c r="O4" s="28">
        <f>INDEX(H:H,MATCH(M4,A:A,0))+O3</f>
        <v>63.5</v>
      </c>
      <c r="P4" s="28"/>
    </row>
    <row r="5" spans="1:16" x14ac:dyDescent="0.25">
      <c r="A5" s="14" t="s">
        <v>93</v>
      </c>
      <c r="B5" s="14" t="s">
        <v>99</v>
      </c>
      <c r="C5" s="64"/>
      <c r="D5" s="26">
        <f>Analysis!J17</f>
        <v>0</v>
      </c>
      <c r="E5" s="26">
        <v>10</v>
      </c>
      <c r="F5" s="14" t="s">
        <v>77</v>
      </c>
      <c r="G5" s="14">
        <v>1</v>
      </c>
      <c r="H5" s="63">
        <f t="shared" si="0"/>
        <v>10</v>
      </c>
      <c r="I5" s="58">
        <f>Analysis!$AE$14</f>
        <v>36.83210805393032</v>
      </c>
      <c r="J5" s="10">
        <f t="shared" si="1"/>
        <v>368.32108053930318</v>
      </c>
      <c r="K5" s="10">
        <v>6</v>
      </c>
      <c r="M5" s="10" t="str">
        <f t="shared" si="2"/>
        <v>P6</v>
      </c>
      <c r="N5" s="10">
        <f>INDEX(J:J,MATCH(M5,A:A,0))+N4</f>
        <v>3149.1452386110423</v>
      </c>
      <c r="O5" s="28">
        <f>INDEX(H:H,MATCH(M5,A:A,0))+O4</f>
        <v>85.5</v>
      </c>
    </row>
    <row r="6" spans="1:16" ht="30" customHeight="1" x14ac:dyDescent="0.25">
      <c r="A6" s="14" t="s">
        <v>94</v>
      </c>
      <c r="B6" s="14" t="s">
        <v>100</v>
      </c>
      <c r="C6" s="64"/>
      <c r="D6" s="26">
        <f>Analysis!J18</f>
        <v>0</v>
      </c>
      <c r="E6" s="26">
        <v>11</v>
      </c>
      <c r="F6" s="14" t="s">
        <v>77</v>
      </c>
      <c r="G6" s="14">
        <v>1</v>
      </c>
      <c r="H6" s="63">
        <f t="shared" si="0"/>
        <v>11</v>
      </c>
      <c r="I6" s="58">
        <f>Analysis!$AE$14</f>
        <v>36.83210805393032</v>
      </c>
      <c r="J6" s="10">
        <f t="shared" si="1"/>
        <v>405.15318859323349</v>
      </c>
      <c r="K6" s="10">
        <v>5</v>
      </c>
      <c r="M6" s="10" t="str">
        <f t="shared" si="2"/>
        <v>P2</v>
      </c>
      <c r="N6" s="10">
        <f>INDEX(J:J,MATCH(M6,A:A,0))+N5</f>
        <v>3812.123183581788</v>
      </c>
      <c r="O6" s="28">
        <f>INDEX(H:H,MATCH(M6,A:A,0))+O5</f>
        <v>103.5</v>
      </c>
    </row>
    <row r="7" spans="1:16" x14ac:dyDescent="0.25">
      <c r="A7" s="14" t="s">
        <v>95</v>
      </c>
      <c r="B7" s="14" t="s">
        <v>101</v>
      </c>
      <c r="C7" s="64"/>
      <c r="D7" s="26"/>
      <c r="E7" s="26">
        <v>22</v>
      </c>
      <c r="F7" s="14" t="s">
        <v>77</v>
      </c>
      <c r="G7" s="14">
        <v>1</v>
      </c>
      <c r="H7" s="63">
        <f t="shared" si="0"/>
        <v>22</v>
      </c>
      <c r="I7" s="58">
        <f>Analysis!$AE$14</f>
        <v>36.83210805393032</v>
      </c>
      <c r="J7" s="10">
        <f t="shared" si="1"/>
        <v>810.30637718646699</v>
      </c>
      <c r="K7" s="10">
        <v>3</v>
      </c>
      <c r="M7" s="10" t="str">
        <f t="shared" si="2"/>
        <v>P5</v>
      </c>
      <c r="N7" s="10">
        <f>INDEX(J:J,MATCH(M7,A:A,0))+N6</f>
        <v>4217.2763721750216</v>
      </c>
      <c r="O7" s="28">
        <f>INDEX(H:H,MATCH(M7,A:A,0))+O6</f>
        <v>114.5</v>
      </c>
    </row>
    <row r="8" spans="1:16" x14ac:dyDescent="0.25">
      <c r="A8" s="14"/>
      <c r="B8" s="14"/>
      <c r="C8" s="65"/>
      <c r="D8" s="26"/>
      <c r="E8" s="26"/>
      <c r="F8" s="14"/>
      <c r="G8" s="14"/>
      <c r="H8" s="63">
        <f t="shared" si="0"/>
        <v>0</v>
      </c>
      <c r="I8" s="58"/>
      <c r="M8" s="10" t="str">
        <f t="shared" si="2"/>
        <v>P4</v>
      </c>
      <c r="N8" s="10">
        <f>INDEX(J:J,MATCH(M8,A:A,0))+N7</f>
        <v>4585.5974527143244</v>
      </c>
      <c r="O8" s="28">
        <f>INDEX(H:H,MATCH(M8,A:A,0))+O7</f>
        <v>124.5</v>
      </c>
    </row>
    <row r="9" spans="1:16" x14ac:dyDescent="0.25">
      <c r="A9" s="14"/>
      <c r="B9" s="14"/>
      <c r="C9" s="14">
        <f>Analysis!I15</f>
        <v>0</v>
      </c>
      <c r="D9" s="26">
        <f>Analysis!J19</f>
        <v>0</v>
      </c>
      <c r="E9" s="26"/>
      <c r="F9" s="14"/>
      <c r="G9" s="14"/>
      <c r="H9" s="63">
        <f t="shared" si="0"/>
        <v>0</v>
      </c>
      <c r="I9" s="58"/>
      <c r="O9" s="28"/>
    </row>
    <row r="10" spans="1:16" x14ac:dyDescent="0.25">
      <c r="O10" s="28"/>
    </row>
    <row r="11" spans="1:16" hidden="1" x14ac:dyDescent="0.25"/>
    <row r="12" spans="1:16" hidden="1" x14ac:dyDescent="0.25">
      <c r="A12" s="32" t="s">
        <v>83</v>
      </c>
      <c r="B12" s="32"/>
      <c r="C12" s="32" t="str">
        <f>Analysis!$M$13</f>
        <v>New/Existing</v>
      </c>
      <c r="D12" s="66" t="str">
        <f>Analysis!AA13</f>
        <v>New Score (for life of project)</v>
      </c>
      <c r="E12" s="66" t="str">
        <f>Analysis!AD13</f>
        <v>Cost</v>
      </c>
      <c r="F12" s="66" t="str">
        <f>Analysis!AE13</f>
        <v>RSE</v>
      </c>
      <c r="G12" s="66" t="s">
        <v>89</v>
      </c>
      <c r="H12" s="66" t="str">
        <f>Analysis!AF13</f>
        <v>Rank</v>
      </c>
    </row>
    <row r="13" spans="1:16" hidden="1" x14ac:dyDescent="0.25">
      <c r="A13" s="13">
        <f>Analysis!G24</f>
        <v>0</v>
      </c>
      <c r="B13" s="13">
        <f>Analysis!H24</f>
        <v>0</v>
      </c>
      <c r="C13" s="13">
        <f>Analysis!M24</f>
        <v>0</v>
      </c>
      <c r="D13" s="14">
        <f>Analysis!AA24</f>
        <v>0</v>
      </c>
      <c r="E13" s="14">
        <f>Analysis!AD24</f>
        <v>0</v>
      </c>
      <c r="F13" s="49">
        <v>0</v>
      </c>
      <c r="G13" s="14"/>
      <c r="H13" s="14">
        <f>Analysis!AF24</f>
        <v>0</v>
      </c>
    </row>
    <row r="14" spans="1:16" hidden="1" x14ac:dyDescent="0.25">
      <c r="A14" s="13"/>
      <c r="B14" s="13"/>
      <c r="C14" s="13"/>
      <c r="D14" s="14"/>
      <c r="E14" s="67"/>
      <c r="F14" s="49"/>
      <c r="G14" s="68"/>
      <c r="H14" s="14"/>
    </row>
    <row r="15" spans="1:16" hidden="1" x14ac:dyDescent="0.25">
      <c r="A15" s="13"/>
      <c r="B15" s="13"/>
      <c r="C15" s="13"/>
      <c r="D15" s="14"/>
      <c r="E15" s="67"/>
      <c r="F15" s="49"/>
      <c r="G15" s="68"/>
      <c r="H15" s="14"/>
    </row>
    <row r="16" spans="1:16" hidden="1" x14ac:dyDescent="0.25">
      <c r="A16" s="13"/>
      <c r="B16" s="13"/>
      <c r="C16" s="13"/>
      <c r="D16" s="14"/>
      <c r="E16" s="67"/>
      <c r="F16" s="49"/>
      <c r="G16" s="68"/>
      <c r="H16" s="14"/>
    </row>
  </sheetData>
  <sheetProtection algorithmName="SHA-512" hashValue="tf/GacS5d/RYUWhH/Uqyn1O5HUmgeQo1qM3JUsC94g5CQirCgTVwODXpheBihDfq/11vvGGXlhm6anIv5rCgcQ==" saltValue="OXnmbwldwHwgcRJbU225wQ==" spinCount="100000" sheet="1" objects="1" scenarios="1"/>
  <autoFilter ref="A12:H16">
    <sortState ref="A13:H16">
      <sortCondition ref="H12:H1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4" width="9.140625" style="3"/>
    <col min="15" max="15" width="4.140625" style="3" customWidth="1"/>
    <col min="16" max="16" width="11.5703125" style="3" bestFit="1" customWidth="1"/>
    <col min="17" max="17" width="9.140625" style="3"/>
    <col min="18" max="35" width="2.7109375" style="8" customWidth="1"/>
    <col min="36" max="16384" width="9.140625" style="3"/>
  </cols>
  <sheetData>
    <row r="1" spans="1:35" x14ac:dyDescent="0.25"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8" t="s">
        <v>31</v>
      </c>
      <c r="K1" s="83" t="s">
        <v>23</v>
      </c>
      <c r="L1" s="83"/>
      <c r="O1" s="83" t="s">
        <v>32</v>
      </c>
      <c r="P1" s="83"/>
    </row>
    <row r="2" spans="1:35" x14ac:dyDescent="0.25">
      <c r="A2" s="3">
        <v>1</v>
      </c>
      <c r="B2" s="4" t="s">
        <v>38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19">
        <v>7</v>
      </c>
      <c r="L2" s="20">
        <v>31.6227766016838</v>
      </c>
      <c r="M2" s="3">
        <v>7</v>
      </c>
      <c r="O2" s="19">
        <v>7</v>
      </c>
      <c r="P2" s="21">
        <f>10^O2</f>
        <v>10000000</v>
      </c>
    </row>
    <row r="3" spans="1:35" x14ac:dyDescent="0.25">
      <c r="A3" s="3" t="s">
        <v>74</v>
      </c>
      <c r="B3" s="4" t="s">
        <v>72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19">
        <v>6</v>
      </c>
      <c r="L3" s="20">
        <v>3.16227766016838</v>
      </c>
      <c r="M3" s="3">
        <v>6</v>
      </c>
      <c r="O3" s="19">
        <v>6</v>
      </c>
      <c r="P3" s="21">
        <f t="shared" ref="P3:P8" si="1">10^O3</f>
        <v>1000000</v>
      </c>
    </row>
    <row r="4" spans="1:35" ht="18" x14ac:dyDescent="0.25">
      <c r="A4" s="3">
        <v>3</v>
      </c>
      <c r="B4" s="4" t="s">
        <v>39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19">
        <v>5</v>
      </c>
      <c r="L4" s="20">
        <v>0.57735026918962595</v>
      </c>
      <c r="M4" s="3">
        <v>5</v>
      </c>
      <c r="O4" s="19">
        <v>5</v>
      </c>
      <c r="P4" s="21">
        <f t="shared" si="1"/>
        <v>100000</v>
      </c>
      <c r="T4" s="9" t="s">
        <v>36</v>
      </c>
      <c r="U4" s="22"/>
    </row>
    <row r="5" spans="1:35" x14ac:dyDescent="0.25">
      <c r="A5" s="3">
        <v>4</v>
      </c>
      <c r="B5" s="4" t="s">
        <v>41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19">
        <v>4</v>
      </c>
      <c r="L5" s="20">
        <v>0.182574185835055</v>
      </c>
      <c r="M5" s="3">
        <v>4</v>
      </c>
      <c r="O5" s="19">
        <v>4</v>
      </c>
      <c r="P5" s="21">
        <f t="shared" si="1"/>
        <v>10000</v>
      </c>
      <c r="T5" s="84" t="s">
        <v>18</v>
      </c>
      <c r="U5" s="84"/>
      <c r="V5" s="84"/>
      <c r="W5" s="84"/>
      <c r="X5" s="84"/>
      <c r="Y5" s="84"/>
      <c r="Z5" s="84"/>
      <c r="AC5" s="84" t="s">
        <v>20</v>
      </c>
      <c r="AD5" s="84"/>
      <c r="AE5" s="84"/>
      <c r="AF5" s="84"/>
      <c r="AG5" s="84"/>
      <c r="AH5" s="84"/>
      <c r="AI5" s="84"/>
    </row>
    <row r="6" spans="1:35" x14ac:dyDescent="0.25">
      <c r="A6" s="3">
        <v>5</v>
      </c>
      <c r="B6" s="4" t="s">
        <v>42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19">
        <v>3</v>
      </c>
      <c r="L6" s="20">
        <v>5.7735026918962602E-2</v>
      </c>
      <c r="M6" s="3">
        <v>3</v>
      </c>
      <c r="O6" s="19">
        <v>3</v>
      </c>
      <c r="P6" s="21">
        <f t="shared" si="1"/>
        <v>1000</v>
      </c>
      <c r="R6" s="85" t="s">
        <v>1</v>
      </c>
      <c r="S6" s="23">
        <v>7</v>
      </c>
      <c r="T6" s="24" t="s">
        <v>82</v>
      </c>
      <c r="U6" s="24" t="s">
        <v>82</v>
      </c>
      <c r="V6" s="24" t="s">
        <v>82</v>
      </c>
      <c r="W6" s="24" t="s">
        <v>82</v>
      </c>
      <c r="X6" s="24" t="s">
        <v>82</v>
      </c>
      <c r="Y6" s="24" t="s">
        <v>82</v>
      </c>
      <c r="Z6" s="24" t="s">
        <v>82</v>
      </c>
      <c r="AB6" s="23">
        <v>7</v>
      </c>
      <c r="AC6" s="24" t="s">
        <v>82</v>
      </c>
      <c r="AD6" s="24" t="s">
        <v>82</v>
      </c>
      <c r="AE6" s="24" t="s">
        <v>82</v>
      </c>
      <c r="AF6" s="24" t="s">
        <v>82</v>
      </c>
      <c r="AG6" s="24" t="s">
        <v>82</v>
      </c>
      <c r="AH6" s="24" t="s">
        <v>82</v>
      </c>
      <c r="AI6" s="24" t="s">
        <v>82</v>
      </c>
    </row>
    <row r="7" spans="1:35" x14ac:dyDescent="0.25">
      <c r="A7" s="3">
        <v>6</v>
      </c>
      <c r="B7" s="4" t="s">
        <v>44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19">
        <v>2</v>
      </c>
      <c r="L7" s="20">
        <v>1.8257418583505498E-2</v>
      </c>
      <c r="M7" s="3">
        <v>2</v>
      </c>
      <c r="O7" s="19">
        <v>2</v>
      </c>
      <c r="P7" s="21">
        <f t="shared" si="1"/>
        <v>100</v>
      </c>
      <c r="R7" s="85"/>
      <c r="S7" s="23">
        <v>6</v>
      </c>
      <c r="T7" s="24" t="s">
        <v>82</v>
      </c>
      <c r="U7" s="24" t="s">
        <v>82</v>
      </c>
      <c r="V7" s="24" t="s">
        <v>82</v>
      </c>
      <c r="W7" s="24" t="s">
        <v>82</v>
      </c>
      <c r="X7" s="24" t="s">
        <v>82</v>
      </c>
      <c r="Y7" s="24" t="s">
        <v>82</v>
      </c>
      <c r="Z7" s="24" t="s">
        <v>82</v>
      </c>
      <c r="AB7" s="23">
        <v>6</v>
      </c>
      <c r="AC7" s="24" t="s">
        <v>82</v>
      </c>
      <c r="AD7" s="24" t="s">
        <v>82</v>
      </c>
      <c r="AE7" s="24" t="s">
        <v>82</v>
      </c>
      <c r="AF7" s="24" t="s">
        <v>82</v>
      </c>
      <c r="AG7" s="24" t="s">
        <v>82</v>
      </c>
      <c r="AH7" s="24" t="s">
        <v>82</v>
      </c>
      <c r="AI7" s="24" t="s">
        <v>82</v>
      </c>
    </row>
    <row r="8" spans="1:35" x14ac:dyDescent="0.25">
      <c r="A8" s="3">
        <v>7</v>
      </c>
      <c r="B8" s="4" t="s">
        <v>50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19">
        <v>1</v>
      </c>
      <c r="L8" s="20">
        <v>5.4772255750516604E-3</v>
      </c>
      <c r="M8" s="3">
        <v>1</v>
      </c>
      <c r="O8" s="19">
        <v>1</v>
      </c>
      <c r="P8" s="21">
        <f t="shared" si="1"/>
        <v>10</v>
      </c>
      <c r="R8" s="85"/>
      <c r="S8" s="23">
        <v>5</v>
      </c>
      <c r="T8" s="24" t="s">
        <v>82</v>
      </c>
      <c r="U8" s="24" t="s">
        <v>82</v>
      </c>
      <c r="V8" s="24" t="s">
        <v>82</v>
      </c>
      <c r="W8" s="24" t="s">
        <v>82</v>
      </c>
      <c r="X8" s="24" t="s">
        <v>82</v>
      </c>
      <c r="Y8" s="24" t="s">
        <v>82</v>
      </c>
      <c r="Z8" s="24" t="s">
        <v>82</v>
      </c>
      <c r="AB8" s="23">
        <v>5</v>
      </c>
      <c r="AC8" s="24" t="s">
        <v>82</v>
      </c>
      <c r="AD8" s="24" t="s">
        <v>82</v>
      </c>
      <c r="AE8" s="24" t="s">
        <v>82</v>
      </c>
      <c r="AF8" s="24" t="s">
        <v>82</v>
      </c>
      <c r="AG8" s="24" t="s">
        <v>82</v>
      </c>
      <c r="AH8" s="24" t="s">
        <v>82</v>
      </c>
      <c r="AI8" s="24" t="s">
        <v>82</v>
      </c>
    </row>
    <row r="9" spans="1:35" x14ac:dyDescent="0.25">
      <c r="A9" s="3">
        <v>9</v>
      </c>
      <c r="B9" s="4" t="s">
        <v>54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  <c r="R9" s="85"/>
      <c r="S9" s="23">
        <v>4</v>
      </c>
      <c r="T9" s="24" t="s">
        <v>82</v>
      </c>
      <c r="U9" s="24" t="s">
        <v>82</v>
      </c>
      <c r="V9" s="24" t="s">
        <v>82</v>
      </c>
      <c r="W9" s="24" t="s">
        <v>82</v>
      </c>
      <c r="X9" s="24" t="s">
        <v>82</v>
      </c>
      <c r="Y9" s="24" t="s">
        <v>82</v>
      </c>
      <c r="Z9" s="24" t="s">
        <v>82</v>
      </c>
      <c r="AB9" s="23">
        <v>4</v>
      </c>
      <c r="AC9" s="24" t="s">
        <v>82</v>
      </c>
      <c r="AD9" s="24" t="s">
        <v>82</v>
      </c>
      <c r="AE9" s="24" t="s">
        <v>82</v>
      </c>
      <c r="AF9" s="24" t="s">
        <v>82</v>
      </c>
      <c r="AG9" s="24" t="s">
        <v>82</v>
      </c>
      <c r="AH9" s="24" t="s">
        <v>82</v>
      </c>
      <c r="AI9" s="24" t="s">
        <v>82</v>
      </c>
    </row>
    <row r="10" spans="1:35" x14ac:dyDescent="0.25">
      <c r="A10" s="3">
        <v>10</v>
      </c>
      <c r="B10" s="4" t="s">
        <v>58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83" t="s">
        <v>43</v>
      </c>
      <c r="L10" s="83"/>
      <c r="R10" s="85"/>
      <c r="S10" s="23">
        <v>3</v>
      </c>
      <c r="T10" s="24" t="s">
        <v>82</v>
      </c>
      <c r="U10" s="24" t="s">
        <v>82</v>
      </c>
      <c r="V10" s="24" t="s">
        <v>82</v>
      </c>
      <c r="W10" s="24" t="s">
        <v>82</v>
      </c>
      <c r="X10" s="24">
        <v>1</v>
      </c>
      <c r="Y10" s="24" t="s">
        <v>82</v>
      </c>
      <c r="Z10" s="24" t="s">
        <v>82</v>
      </c>
      <c r="AB10" s="23">
        <v>3</v>
      </c>
      <c r="AC10" s="24" t="s">
        <v>82</v>
      </c>
      <c r="AD10" s="24" t="s">
        <v>82</v>
      </c>
      <c r="AE10" s="24">
        <v>1</v>
      </c>
      <c r="AF10" s="24" t="s">
        <v>82</v>
      </c>
      <c r="AG10" s="24" t="s">
        <v>82</v>
      </c>
      <c r="AH10" s="24" t="s">
        <v>82</v>
      </c>
      <c r="AI10" s="24" t="s">
        <v>82</v>
      </c>
    </row>
    <row r="11" spans="1:35" x14ac:dyDescent="0.25">
      <c r="A11" s="3">
        <v>11</v>
      </c>
      <c r="B11" s="4" t="s">
        <v>62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18</v>
      </c>
      <c r="R11" s="85"/>
      <c r="S11" s="23">
        <v>2</v>
      </c>
      <c r="T11" s="24" t="s">
        <v>82</v>
      </c>
      <c r="U11" s="24" t="s">
        <v>82</v>
      </c>
      <c r="V11" s="24" t="s">
        <v>82</v>
      </c>
      <c r="W11" s="24" t="s">
        <v>82</v>
      </c>
      <c r="X11" s="24" t="s">
        <v>82</v>
      </c>
      <c r="Y11" s="24" t="s">
        <v>82</v>
      </c>
      <c r="Z11" s="24" t="s">
        <v>82</v>
      </c>
      <c r="AB11" s="23">
        <v>2</v>
      </c>
      <c r="AC11" s="24" t="s">
        <v>82</v>
      </c>
      <c r="AD11" s="24" t="s">
        <v>82</v>
      </c>
      <c r="AE11" s="24" t="s">
        <v>82</v>
      </c>
      <c r="AF11" s="24" t="s">
        <v>82</v>
      </c>
      <c r="AG11" s="24" t="s">
        <v>82</v>
      </c>
      <c r="AH11" s="24" t="s">
        <v>82</v>
      </c>
      <c r="AI11" s="24" t="s">
        <v>82</v>
      </c>
    </row>
    <row r="12" spans="1:35" x14ac:dyDescent="0.25">
      <c r="A12" s="3">
        <v>12</v>
      </c>
      <c r="B12" s="4" t="s">
        <v>63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19</v>
      </c>
      <c r="R12" s="85"/>
      <c r="S12" s="23">
        <v>1</v>
      </c>
      <c r="T12" s="24" t="s">
        <v>82</v>
      </c>
      <c r="U12" s="24" t="s">
        <v>82</v>
      </c>
      <c r="V12" s="24" t="s">
        <v>82</v>
      </c>
      <c r="W12" s="24" t="s">
        <v>82</v>
      </c>
      <c r="X12" s="24" t="s">
        <v>82</v>
      </c>
      <c r="Y12" s="24" t="s">
        <v>82</v>
      </c>
      <c r="Z12" s="24" t="s">
        <v>82</v>
      </c>
      <c r="AB12" s="23">
        <v>1</v>
      </c>
      <c r="AC12" s="24" t="s">
        <v>82</v>
      </c>
      <c r="AD12" s="24" t="s">
        <v>82</v>
      </c>
      <c r="AE12" s="24" t="s">
        <v>82</v>
      </c>
      <c r="AF12" s="24" t="s">
        <v>82</v>
      </c>
      <c r="AG12" s="24" t="s">
        <v>82</v>
      </c>
      <c r="AH12" s="24" t="s">
        <v>82</v>
      </c>
      <c r="AI12" s="24" t="s">
        <v>82</v>
      </c>
    </row>
    <row r="13" spans="1:35" x14ac:dyDescent="0.25">
      <c r="A13" s="3">
        <v>13</v>
      </c>
      <c r="B13" s="4" t="s">
        <v>45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20</v>
      </c>
      <c r="T13" s="25">
        <v>1</v>
      </c>
      <c r="U13" s="25">
        <v>2</v>
      </c>
      <c r="V13" s="25">
        <v>3</v>
      </c>
      <c r="W13" s="25">
        <v>4</v>
      </c>
      <c r="X13" s="25">
        <v>5</v>
      </c>
      <c r="Y13" s="25">
        <v>6</v>
      </c>
      <c r="Z13" s="25">
        <v>7</v>
      </c>
      <c r="AC13" s="25">
        <v>1</v>
      </c>
      <c r="AD13" s="25">
        <v>2</v>
      </c>
      <c r="AE13" s="25">
        <v>3</v>
      </c>
      <c r="AF13" s="25">
        <v>4</v>
      </c>
      <c r="AG13" s="25">
        <v>5</v>
      </c>
      <c r="AH13" s="25">
        <v>6</v>
      </c>
      <c r="AI13" s="25">
        <v>7</v>
      </c>
    </row>
    <row r="14" spans="1:35" x14ac:dyDescent="0.25">
      <c r="A14" s="3">
        <v>14</v>
      </c>
      <c r="B14" s="4" t="s">
        <v>52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0</v>
      </c>
      <c r="T14" s="82" t="s">
        <v>48</v>
      </c>
      <c r="U14" s="82"/>
      <c r="V14" s="82"/>
      <c r="W14" s="82"/>
      <c r="X14" s="82"/>
      <c r="Y14" s="82"/>
      <c r="Z14" s="82"/>
      <c r="AC14" s="82" t="s">
        <v>48</v>
      </c>
      <c r="AD14" s="82"/>
      <c r="AE14" s="82"/>
      <c r="AF14" s="82"/>
      <c r="AG14" s="82"/>
      <c r="AH14" s="82"/>
      <c r="AI14" s="82"/>
    </row>
    <row r="15" spans="1:35" x14ac:dyDescent="0.25">
      <c r="A15" s="3">
        <v>15</v>
      </c>
      <c r="B15" s="4" t="s">
        <v>53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35" x14ac:dyDescent="0.25">
      <c r="A16" s="3">
        <v>16</v>
      </c>
      <c r="B16" s="4" t="s">
        <v>55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  <c r="T16" s="84" t="s">
        <v>19</v>
      </c>
      <c r="U16" s="84"/>
      <c r="V16" s="84"/>
      <c r="W16" s="84"/>
      <c r="X16" s="84"/>
      <c r="Y16" s="84"/>
      <c r="Z16" s="84"/>
      <c r="AC16" s="84" t="s">
        <v>51</v>
      </c>
      <c r="AD16" s="84"/>
      <c r="AE16" s="84"/>
      <c r="AF16" s="84"/>
      <c r="AG16" s="84"/>
      <c r="AH16" s="84"/>
      <c r="AI16" s="84"/>
    </row>
    <row r="17" spans="1:35" x14ac:dyDescent="0.25">
      <c r="A17" s="3">
        <v>17</v>
      </c>
      <c r="B17" s="4" t="s">
        <v>56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  <c r="R17" s="85" t="s">
        <v>1</v>
      </c>
      <c r="S17" s="23">
        <v>7</v>
      </c>
      <c r="T17" s="24" t="s">
        <v>82</v>
      </c>
      <c r="U17" s="24" t="s">
        <v>82</v>
      </c>
      <c r="V17" s="24" t="s">
        <v>82</v>
      </c>
      <c r="W17" s="24" t="s">
        <v>82</v>
      </c>
      <c r="X17" s="24" t="s">
        <v>82</v>
      </c>
      <c r="Y17" s="24" t="s">
        <v>82</v>
      </c>
      <c r="Z17" s="24" t="s">
        <v>82</v>
      </c>
      <c r="AB17" s="23">
        <v>7</v>
      </c>
      <c r="AC17" s="24" t="s">
        <v>82</v>
      </c>
      <c r="AD17" s="24" t="s">
        <v>82</v>
      </c>
      <c r="AE17" s="24" t="s">
        <v>82</v>
      </c>
      <c r="AF17" s="24" t="s">
        <v>82</v>
      </c>
      <c r="AG17" s="24" t="s">
        <v>82</v>
      </c>
      <c r="AH17" s="24" t="s">
        <v>82</v>
      </c>
      <c r="AI17" s="24" t="s">
        <v>82</v>
      </c>
    </row>
    <row r="18" spans="1:35" x14ac:dyDescent="0.25">
      <c r="A18" s="3">
        <v>18</v>
      </c>
      <c r="B18" s="4" t="s">
        <v>57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  <c r="R18" s="85"/>
      <c r="S18" s="23">
        <v>6</v>
      </c>
      <c r="T18" s="24" t="s">
        <v>82</v>
      </c>
      <c r="U18" s="24" t="s">
        <v>82</v>
      </c>
      <c r="V18" s="24" t="s">
        <v>82</v>
      </c>
      <c r="W18" s="24" t="s">
        <v>82</v>
      </c>
      <c r="X18" s="24" t="s">
        <v>82</v>
      </c>
      <c r="Y18" s="24" t="s">
        <v>82</v>
      </c>
      <c r="Z18" s="24" t="s">
        <v>82</v>
      </c>
      <c r="AB18" s="23">
        <v>6</v>
      </c>
      <c r="AC18" s="24" t="s">
        <v>82</v>
      </c>
      <c r="AD18" s="24" t="s">
        <v>82</v>
      </c>
      <c r="AE18" s="24" t="s">
        <v>82</v>
      </c>
      <c r="AF18" s="24" t="s">
        <v>82</v>
      </c>
      <c r="AG18" s="24" t="s">
        <v>82</v>
      </c>
      <c r="AH18" s="24" t="s">
        <v>82</v>
      </c>
      <c r="AI18" s="24" t="s">
        <v>82</v>
      </c>
    </row>
    <row r="19" spans="1:35" x14ac:dyDescent="0.25">
      <c r="A19" s="3">
        <v>19</v>
      </c>
      <c r="B19" s="4" t="s">
        <v>73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  <c r="R19" s="85"/>
      <c r="S19" s="23">
        <v>5</v>
      </c>
      <c r="T19" s="24" t="s">
        <v>82</v>
      </c>
      <c r="U19" s="24" t="s">
        <v>82</v>
      </c>
      <c r="V19" s="24" t="s">
        <v>82</v>
      </c>
      <c r="W19" s="24" t="s">
        <v>82</v>
      </c>
      <c r="X19" s="24" t="s">
        <v>82</v>
      </c>
      <c r="Y19" s="24" t="s">
        <v>82</v>
      </c>
      <c r="Z19" s="24" t="s">
        <v>82</v>
      </c>
      <c r="AB19" s="23">
        <v>5</v>
      </c>
      <c r="AC19" s="24" t="s">
        <v>82</v>
      </c>
      <c r="AD19" s="24" t="s">
        <v>82</v>
      </c>
      <c r="AE19" s="24" t="s">
        <v>82</v>
      </c>
      <c r="AF19" s="24" t="s">
        <v>82</v>
      </c>
      <c r="AG19" s="24" t="s">
        <v>82</v>
      </c>
      <c r="AH19" s="24" t="s">
        <v>82</v>
      </c>
      <c r="AI19" s="24" t="s">
        <v>82</v>
      </c>
    </row>
    <row r="20" spans="1:35" x14ac:dyDescent="0.25">
      <c r="A20" s="3">
        <v>20</v>
      </c>
      <c r="B20" s="4" t="s">
        <v>60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  <c r="R20" s="85"/>
      <c r="S20" s="23">
        <v>4</v>
      </c>
      <c r="T20" s="24" t="s">
        <v>82</v>
      </c>
      <c r="U20" s="24" t="s">
        <v>82</v>
      </c>
      <c r="V20" s="24" t="s">
        <v>82</v>
      </c>
      <c r="W20" s="24" t="s">
        <v>82</v>
      </c>
      <c r="X20" s="24" t="s">
        <v>82</v>
      </c>
      <c r="Y20" s="24" t="s">
        <v>82</v>
      </c>
      <c r="Z20" s="24" t="s">
        <v>82</v>
      </c>
      <c r="AB20" s="23">
        <v>4</v>
      </c>
      <c r="AC20" s="24" t="s">
        <v>82</v>
      </c>
      <c r="AD20" s="24" t="s">
        <v>82</v>
      </c>
      <c r="AE20" s="24" t="s">
        <v>82</v>
      </c>
      <c r="AF20" s="24" t="s">
        <v>82</v>
      </c>
      <c r="AG20" s="24" t="s">
        <v>82</v>
      </c>
      <c r="AH20" s="24" t="s">
        <v>82</v>
      </c>
      <c r="AI20" s="24" t="s">
        <v>82</v>
      </c>
    </row>
    <row r="21" spans="1:35" x14ac:dyDescent="0.25">
      <c r="A21" s="3">
        <v>21</v>
      </c>
      <c r="B21" s="4" t="s">
        <v>33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  <c r="R21" s="85"/>
      <c r="S21" s="23">
        <v>3</v>
      </c>
      <c r="T21" s="24" t="s">
        <v>82</v>
      </c>
      <c r="U21" s="24" t="s">
        <v>82</v>
      </c>
      <c r="V21" s="24">
        <v>1</v>
      </c>
      <c r="W21" s="24" t="s">
        <v>82</v>
      </c>
      <c r="X21" s="24" t="s">
        <v>82</v>
      </c>
      <c r="Y21" s="24" t="s">
        <v>82</v>
      </c>
      <c r="Z21" s="24" t="s">
        <v>82</v>
      </c>
      <c r="AB21" s="23">
        <v>3</v>
      </c>
      <c r="AC21" s="24" t="s">
        <v>82</v>
      </c>
      <c r="AD21" s="24" t="s">
        <v>82</v>
      </c>
      <c r="AE21" s="24">
        <v>1</v>
      </c>
      <c r="AF21" s="24" t="s">
        <v>82</v>
      </c>
      <c r="AG21" s="24" t="s">
        <v>82</v>
      </c>
      <c r="AH21" s="24" t="s">
        <v>82</v>
      </c>
      <c r="AI21" s="24" t="s">
        <v>82</v>
      </c>
    </row>
    <row r="22" spans="1:35" x14ac:dyDescent="0.25">
      <c r="A22" s="3">
        <v>22</v>
      </c>
      <c r="B22" s="4" t="s">
        <v>34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  <c r="R22" s="85"/>
      <c r="S22" s="23">
        <v>2</v>
      </c>
      <c r="T22" s="24" t="s">
        <v>82</v>
      </c>
      <c r="U22" s="24" t="s">
        <v>82</v>
      </c>
      <c r="V22" s="24" t="s">
        <v>82</v>
      </c>
      <c r="W22" s="24" t="s">
        <v>82</v>
      </c>
      <c r="X22" s="24" t="s">
        <v>82</v>
      </c>
      <c r="Y22" s="24" t="s">
        <v>82</v>
      </c>
      <c r="Z22" s="24" t="s">
        <v>82</v>
      </c>
      <c r="AB22" s="23">
        <v>2</v>
      </c>
      <c r="AC22" s="24" t="s">
        <v>82</v>
      </c>
      <c r="AD22" s="24" t="s">
        <v>82</v>
      </c>
      <c r="AE22" s="24" t="s">
        <v>82</v>
      </c>
      <c r="AF22" s="24" t="s">
        <v>82</v>
      </c>
      <c r="AG22" s="24" t="s">
        <v>82</v>
      </c>
      <c r="AH22" s="24" t="s">
        <v>82</v>
      </c>
      <c r="AI22" s="24" t="s">
        <v>82</v>
      </c>
    </row>
    <row r="23" spans="1:35" x14ac:dyDescent="0.25">
      <c r="A23" s="3">
        <v>23</v>
      </c>
      <c r="B23" s="4" t="s">
        <v>35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  <c r="R23" s="85"/>
      <c r="S23" s="23">
        <v>1</v>
      </c>
      <c r="T23" s="24" t="s">
        <v>82</v>
      </c>
      <c r="U23" s="24" t="s">
        <v>82</v>
      </c>
      <c r="V23" s="24" t="s">
        <v>82</v>
      </c>
      <c r="W23" s="24" t="s">
        <v>82</v>
      </c>
      <c r="X23" s="24" t="s">
        <v>82</v>
      </c>
      <c r="Y23" s="24" t="s">
        <v>82</v>
      </c>
      <c r="Z23" s="24" t="s">
        <v>82</v>
      </c>
      <c r="AB23" s="23">
        <v>1</v>
      </c>
      <c r="AC23" s="24" t="s">
        <v>82</v>
      </c>
      <c r="AD23" s="24" t="s">
        <v>82</v>
      </c>
      <c r="AE23" s="24" t="s">
        <v>82</v>
      </c>
      <c r="AF23" s="24" t="s">
        <v>82</v>
      </c>
      <c r="AG23" s="24" t="s">
        <v>82</v>
      </c>
      <c r="AH23" s="24" t="s">
        <v>82</v>
      </c>
      <c r="AI23" s="24" t="s">
        <v>82</v>
      </c>
    </row>
    <row r="24" spans="1:35" x14ac:dyDescent="0.25">
      <c r="A24" s="3">
        <v>24</v>
      </c>
      <c r="B24" s="4" t="s">
        <v>37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  <c r="T24" s="25">
        <v>1</v>
      </c>
      <c r="U24" s="25">
        <v>2</v>
      </c>
      <c r="V24" s="25">
        <v>3</v>
      </c>
      <c r="W24" s="25">
        <v>4</v>
      </c>
      <c r="X24" s="25">
        <v>5</v>
      </c>
      <c r="Y24" s="25">
        <v>6</v>
      </c>
      <c r="Z24" s="25">
        <v>7</v>
      </c>
      <c r="AC24" s="25">
        <v>1</v>
      </c>
      <c r="AD24" s="25">
        <v>2</v>
      </c>
      <c r="AE24" s="25">
        <v>3</v>
      </c>
      <c r="AF24" s="25">
        <v>4</v>
      </c>
      <c r="AG24" s="25">
        <v>5</v>
      </c>
      <c r="AH24" s="25">
        <v>6</v>
      </c>
      <c r="AI24" s="25">
        <v>7</v>
      </c>
    </row>
    <row r="25" spans="1:35" x14ac:dyDescent="0.25">
      <c r="A25" s="3">
        <v>25</v>
      </c>
      <c r="B25" s="4" t="s">
        <v>40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  <c r="T25" s="82" t="s">
        <v>48</v>
      </c>
      <c r="U25" s="82"/>
      <c r="V25" s="82"/>
      <c r="W25" s="82"/>
      <c r="X25" s="82"/>
      <c r="Y25" s="82"/>
      <c r="Z25" s="82"/>
      <c r="AC25" s="82" t="s">
        <v>48</v>
      </c>
      <c r="AD25" s="82"/>
      <c r="AE25" s="82"/>
      <c r="AF25" s="82"/>
      <c r="AG25" s="82"/>
      <c r="AH25" s="82"/>
      <c r="AI25" s="82"/>
    </row>
    <row r="26" spans="1:35" x14ac:dyDescent="0.25">
      <c r="A26" s="3">
        <v>26</v>
      </c>
      <c r="B26" s="4" t="s">
        <v>46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35" ht="18" x14ac:dyDescent="0.25">
      <c r="A27" s="3">
        <v>27</v>
      </c>
      <c r="B27" s="4" t="s">
        <v>47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  <c r="T27" s="9" t="s">
        <v>61</v>
      </c>
    </row>
    <row r="28" spans="1:35" x14ac:dyDescent="0.25">
      <c r="A28" s="3">
        <v>28</v>
      </c>
      <c r="B28" s="4" t="s">
        <v>49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  <c r="T28" s="84" t="s">
        <v>18</v>
      </c>
      <c r="U28" s="84"/>
      <c r="V28" s="84"/>
      <c r="W28" s="84"/>
      <c r="X28" s="84"/>
      <c r="Y28" s="84"/>
      <c r="Z28" s="84"/>
      <c r="AC28" s="84" t="s">
        <v>20</v>
      </c>
      <c r="AD28" s="84"/>
      <c r="AE28" s="84"/>
      <c r="AF28" s="84"/>
      <c r="AG28" s="84"/>
      <c r="AH28" s="84"/>
      <c r="AI28" s="84"/>
    </row>
    <row r="29" spans="1:35" x14ac:dyDescent="0.25">
      <c r="B29" s="4" t="s">
        <v>59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  <c r="R29" s="85" t="s">
        <v>1</v>
      </c>
      <c r="S29" s="23">
        <v>7</v>
      </c>
      <c r="T29" s="24" t="s">
        <v>82</v>
      </c>
      <c r="U29" s="24" t="s">
        <v>82</v>
      </c>
      <c r="V29" s="24" t="s">
        <v>82</v>
      </c>
      <c r="W29" s="24" t="s">
        <v>82</v>
      </c>
      <c r="X29" s="24" t="s">
        <v>82</v>
      </c>
      <c r="Y29" s="24" t="s">
        <v>82</v>
      </c>
      <c r="Z29" s="24" t="s">
        <v>82</v>
      </c>
      <c r="AB29" s="23">
        <v>7</v>
      </c>
      <c r="AC29" s="24" t="s">
        <v>82</v>
      </c>
      <c r="AD29" s="24" t="s">
        <v>82</v>
      </c>
      <c r="AE29" s="24" t="s">
        <v>82</v>
      </c>
      <c r="AF29" s="24" t="s">
        <v>82</v>
      </c>
      <c r="AG29" s="24" t="s">
        <v>82</v>
      </c>
      <c r="AH29" s="24" t="s">
        <v>82</v>
      </c>
      <c r="AI29" s="24" t="s">
        <v>82</v>
      </c>
    </row>
    <row r="30" spans="1:35" x14ac:dyDescent="0.25">
      <c r="R30" s="85"/>
      <c r="S30" s="23">
        <v>6</v>
      </c>
      <c r="T30" s="24" t="s">
        <v>82</v>
      </c>
      <c r="U30" s="24" t="s">
        <v>82</v>
      </c>
      <c r="V30" s="24" t="s">
        <v>82</v>
      </c>
      <c r="W30" s="24" t="s">
        <v>82</v>
      </c>
      <c r="X30" s="24" t="s">
        <v>82</v>
      </c>
      <c r="Y30" s="24" t="s">
        <v>82</v>
      </c>
      <c r="Z30" s="24" t="s">
        <v>82</v>
      </c>
      <c r="AB30" s="23">
        <v>6</v>
      </c>
      <c r="AC30" s="24" t="s">
        <v>82</v>
      </c>
      <c r="AD30" s="24" t="s">
        <v>82</v>
      </c>
      <c r="AE30" s="24" t="s">
        <v>82</v>
      </c>
      <c r="AF30" s="24" t="s">
        <v>82</v>
      </c>
      <c r="AG30" s="24" t="s">
        <v>82</v>
      </c>
      <c r="AH30" s="24" t="s">
        <v>82</v>
      </c>
      <c r="AI30" s="24" t="s">
        <v>82</v>
      </c>
    </row>
    <row r="31" spans="1:35" x14ac:dyDescent="0.25">
      <c r="R31" s="85"/>
      <c r="S31" s="23">
        <v>5</v>
      </c>
      <c r="T31" s="24" t="s">
        <v>82</v>
      </c>
      <c r="U31" s="24" t="s">
        <v>82</v>
      </c>
      <c r="V31" s="24" t="s">
        <v>82</v>
      </c>
      <c r="W31" s="24" t="s">
        <v>82</v>
      </c>
      <c r="X31" s="24" t="s">
        <v>82</v>
      </c>
      <c r="Y31" s="24" t="s">
        <v>82</v>
      </c>
      <c r="Z31" s="24" t="s">
        <v>82</v>
      </c>
      <c r="AB31" s="23">
        <v>5</v>
      </c>
      <c r="AC31" s="24" t="s">
        <v>82</v>
      </c>
      <c r="AD31" s="24" t="s">
        <v>82</v>
      </c>
      <c r="AE31" s="24" t="s">
        <v>82</v>
      </c>
      <c r="AF31" s="24" t="s">
        <v>82</v>
      </c>
      <c r="AG31" s="24" t="s">
        <v>82</v>
      </c>
      <c r="AH31" s="24" t="s">
        <v>82</v>
      </c>
      <c r="AI31" s="24" t="s">
        <v>82</v>
      </c>
    </row>
    <row r="32" spans="1:35" x14ac:dyDescent="0.25">
      <c r="R32" s="85"/>
      <c r="S32" s="23">
        <v>4</v>
      </c>
      <c r="T32" s="24" t="s">
        <v>82</v>
      </c>
      <c r="U32" s="24" t="s">
        <v>82</v>
      </c>
      <c r="V32" s="24" t="s">
        <v>82</v>
      </c>
      <c r="W32" s="24" t="s">
        <v>82</v>
      </c>
      <c r="X32" s="24" t="s">
        <v>82</v>
      </c>
      <c r="Y32" s="24" t="s">
        <v>82</v>
      </c>
      <c r="Z32" s="24" t="s">
        <v>82</v>
      </c>
      <c r="AB32" s="23">
        <v>4</v>
      </c>
      <c r="AC32" s="24" t="s">
        <v>82</v>
      </c>
      <c r="AD32" s="24" t="s">
        <v>82</v>
      </c>
      <c r="AE32" s="24" t="s">
        <v>82</v>
      </c>
      <c r="AF32" s="24" t="s">
        <v>82</v>
      </c>
      <c r="AG32" s="24" t="s">
        <v>82</v>
      </c>
      <c r="AH32" s="24" t="s">
        <v>82</v>
      </c>
      <c r="AI32" s="24" t="s">
        <v>82</v>
      </c>
    </row>
    <row r="33" spans="18:35" x14ac:dyDescent="0.25">
      <c r="R33" s="85"/>
      <c r="S33" s="23">
        <v>3</v>
      </c>
      <c r="T33" s="24" t="s">
        <v>82</v>
      </c>
      <c r="U33" s="24" t="s">
        <v>82</v>
      </c>
      <c r="V33" s="24" t="s">
        <v>82</v>
      </c>
      <c r="W33" s="24" t="s">
        <v>82</v>
      </c>
      <c r="X33" s="24">
        <v>1</v>
      </c>
      <c r="Y33" s="24" t="s">
        <v>82</v>
      </c>
      <c r="Z33" s="24" t="s">
        <v>82</v>
      </c>
      <c r="AB33" s="23">
        <v>3</v>
      </c>
      <c r="AC33" s="24" t="s">
        <v>82</v>
      </c>
      <c r="AD33" s="24" t="s">
        <v>82</v>
      </c>
      <c r="AE33" s="24">
        <v>1</v>
      </c>
      <c r="AF33" s="24" t="s">
        <v>82</v>
      </c>
      <c r="AG33" s="24" t="s">
        <v>82</v>
      </c>
      <c r="AH33" s="24" t="s">
        <v>82</v>
      </c>
      <c r="AI33" s="24" t="s">
        <v>82</v>
      </c>
    </row>
    <row r="34" spans="18:35" x14ac:dyDescent="0.25">
      <c r="R34" s="85"/>
      <c r="S34" s="23">
        <v>2</v>
      </c>
      <c r="T34" s="24" t="s">
        <v>82</v>
      </c>
      <c r="U34" s="24" t="s">
        <v>82</v>
      </c>
      <c r="V34" s="24" t="s">
        <v>82</v>
      </c>
      <c r="W34" s="24" t="s">
        <v>82</v>
      </c>
      <c r="X34" s="24" t="s">
        <v>82</v>
      </c>
      <c r="Y34" s="24" t="s">
        <v>82</v>
      </c>
      <c r="Z34" s="24" t="s">
        <v>82</v>
      </c>
      <c r="AB34" s="23">
        <v>2</v>
      </c>
      <c r="AC34" s="24" t="s">
        <v>82</v>
      </c>
      <c r="AD34" s="24" t="s">
        <v>82</v>
      </c>
      <c r="AE34" s="24" t="s">
        <v>82</v>
      </c>
      <c r="AF34" s="24" t="s">
        <v>82</v>
      </c>
      <c r="AG34" s="24" t="s">
        <v>82</v>
      </c>
      <c r="AH34" s="24" t="s">
        <v>82</v>
      </c>
      <c r="AI34" s="24" t="s">
        <v>82</v>
      </c>
    </row>
    <row r="35" spans="18:35" x14ac:dyDescent="0.25">
      <c r="R35" s="85"/>
      <c r="S35" s="23">
        <v>1</v>
      </c>
      <c r="T35" s="24" t="s">
        <v>82</v>
      </c>
      <c r="U35" s="24" t="s">
        <v>82</v>
      </c>
      <c r="V35" s="24" t="s">
        <v>82</v>
      </c>
      <c r="W35" s="24" t="s">
        <v>82</v>
      </c>
      <c r="X35" s="24" t="s">
        <v>82</v>
      </c>
      <c r="Y35" s="24" t="s">
        <v>82</v>
      </c>
      <c r="Z35" s="24" t="s">
        <v>82</v>
      </c>
      <c r="AB35" s="23">
        <v>1</v>
      </c>
      <c r="AC35" s="24" t="s">
        <v>82</v>
      </c>
      <c r="AD35" s="24" t="s">
        <v>82</v>
      </c>
      <c r="AE35" s="24" t="s">
        <v>82</v>
      </c>
      <c r="AF35" s="24" t="s">
        <v>82</v>
      </c>
      <c r="AG35" s="24" t="s">
        <v>82</v>
      </c>
      <c r="AH35" s="24" t="s">
        <v>82</v>
      </c>
      <c r="AI35" s="24" t="s">
        <v>82</v>
      </c>
    </row>
    <row r="36" spans="18:35" x14ac:dyDescent="0.25">
      <c r="T36" s="25">
        <v>1</v>
      </c>
      <c r="U36" s="25">
        <v>2</v>
      </c>
      <c r="V36" s="25">
        <v>3</v>
      </c>
      <c r="W36" s="25">
        <v>4</v>
      </c>
      <c r="X36" s="25">
        <v>5</v>
      </c>
      <c r="Y36" s="25">
        <v>6</v>
      </c>
      <c r="Z36" s="25">
        <v>7</v>
      </c>
      <c r="AC36" s="25">
        <v>1</v>
      </c>
      <c r="AD36" s="25">
        <v>2</v>
      </c>
      <c r="AE36" s="25">
        <v>3</v>
      </c>
      <c r="AF36" s="25">
        <v>4</v>
      </c>
      <c r="AG36" s="25">
        <v>5</v>
      </c>
      <c r="AH36" s="25">
        <v>6</v>
      </c>
      <c r="AI36" s="25">
        <v>7</v>
      </c>
    </row>
    <row r="37" spans="18:35" x14ac:dyDescent="0.25">
      <c r="T37" s="82" t="s">
        <v>48</v>
      </c>
      <c r="U37" s="82"/>
      <c r="V37" s="82"/>
      <c r="W37" s="82"/>
      <c r="X37" s="82"/>
      <c r="Y37" s="82"/>
      <c r="Z37" s="82"/>
      <c r="AC37" s="82" t="s">
        <v>48</v>
      </c>
      <c r="AD37" s="82"/>
      <c r="AE37" s="82"/>
      <c r="AF37" s="82"/>
      <c r="AG37" s="82"/>
      <c r="AH37" s="82"/>
      <c r="AI37" s="82"/>
    </row>
    <row r="39" spans="18:35" x14ac:dyDescent="0.25">
      <c r="T39" s="84" t="s">
        <v>19</v>
      </c>
      <c r="U39" s="84"/>
      <c r="V39" s="84"/>
      <c r="W39" s="84"/>
      <c r="X39" s="84"/>
      <c r="Y39" s="84"/>
      <c r="Z39" s="84"/>
      <c r="AC39" s="84" t="s">
        <v>51</v>
      </c>
      <c r="AD39" s="84"/>
      <c r="AE39" s="84"/>
      <c r="AF39" s="84"/>
      <c r="AG39" s="84"/>
      <c r="AH39" s="84"/>
      <c r="AI39" s="84"/>
    </row>
    <row r="40" spans="18:35" x14ac:dyDescent="0.25">
      <c r="R40" s="85" t="s">
        <v>1</v>
      </c>
      <c r="S40" s="23">
        <v>7</v>
      </c>
      <c r="T40" s="24" t="s">
        <v>82</v>
      </c>
      <c r="U40" s="24" t="s">
        <v>82</v>
      </c>
      <c r="V40" s="24" t="s">
        <v>82</v>
      </c>
      <c r="W40" s="24" t="s">
        <v>82</v>
      </c>
      <c r="X40" s="24" t="s">
        <v>82</v>
      </c>
      <c r="Y40" s="24" t="s">
        <v>82</v>
      </c>
      <c r="Z40" s="24" t="s">
        <v>82</v>
      </c>
      <c r="AB40" s="23">
        <v>7</v>
      </c>
      <c r="AC40" s="24" t="s">
        <v>82</v>
      </c>
      <c r="AD40" s="24" t="s">
        <v>82</v>
      </c>
      <c r="AE40" s="24" t="s">
        <v>82</v>
      </c>
      <c r="AF40" s="24" t="s">
        <v>82</v>
      </c>
      <c r="AG40" s="24" t="s">
        <v>82</v>
      </c>
      <c r="AH40" s="24" t="s">
        <v>82</v>
      </c>
      <c r="AI40" s="24" t="s">
        <v>82</v>
      </c>
    </row>
    <row r="41" spans="18:35" x14ac:dyDescent="0.25">
      <c r="R41" s="85"/>
      <c r="S41" s="23">
        <v>6</v>
      </c>
      <c r="T41" s="24" t="s">
        <v>82</v>
      </c>
      <c r="U41" s="24" t="s">
        <v>82</v>
      </c>
      <c r="V41" s="24" t="s">
        <v>82</v>
      </c>
      <c r="W41" s="24" t="s">
        <v>82</v>
      </c>
      <c r="X41" s="24" t="s">
        <v>82</v>
      </c>
      <c r="Y41" s="24" t="s">
        <v>82</v>
      </c>
      <c r="Z41" s="24" t="s">
        <v>82</v>
      </c>
      <c r="AB41" s="23">
        <v>6</v>
      </c>
      <c r="AC41" s="24" t="s">
        <v>82</v>
      </c>
      <c r="AD41" s="24" t="s">
        <v>82</v>
      </c>
      <c r="AE41" s="24" t="s">
        <v>82</v>
      </c>
      <c r="AF41" s="24" t="s">
        <v>82</v>
      </c>
      <c r="AG41" s="24" t="s">
        <v>82</v>
      </c>
      <c r="AH41" s="24" t="s">
        <v>82</v>
      </c>
      <c r="AI41" s="24" t="s">
        <v>82</v>
      </c>
    </row>
    <row r="42" spans="18:35" x14ac:dyDescent="0.25">
      <c r="R42" s="85"/>
      <c r="S42" s="23">
        <v>5</v>
      </c>
      <c r="T42" s="24" t="s">
        <v>82</v>
      </c>
      <c r="U42" s="24" t="s">
        <v>82</v>
      </c>
      <c r="V42" s="24" t="s">
        <v>82</v>
      </c>
      <c r="W42" s="24" t="s">
        <v>82</v>
      </c>
      <c r="X42" s="24" t="s">
        <v>82</v>
      </c>
      <c r="Y42" s="24" t="s">
        <v>82</v>
      </c>
      <c r="Z42" s="24" t="s">
        <v>82</v>
      </c>
      <c r="AB42" s="23">
        <v>5</v>
      </c>
      <c r="AC42" s="24" t="s">
        <v>82</v>
      </c>
      <c r="AD42" s="24" t="s">
        <v>82</v>
      </c>
      <c r="AE42" s="24" t="s">
        <v>82</v>
      </c>
      <c r="AF42" s="24" t="s">
        <v>82</v>
      </c>
      <c r="AG42" s="24" t="s">
        <v>82</v>
      </c>
      <c r="AH42" s="24" t="s">
        <v>82</v>
      </c>
      <c r="AI42" s="24" t="s">
        <v>82</v>
      </c>
    </row>
    <row r="43" spans="18:35" x14ac:dyDescent="0.25">
      <c r="R43" s="85"/>
      <c r="S43" s="23">
        <v>4</v>
      </c>
      <c r="T43" s="24" t="s">
        <v>82</v>
      </c>
      <c r="U43" s="24" t="s">
        <v>82</v>
      </c>
      <c r="V43" s="24" t="s">
        <v>82</v>
      </c>
      <c r="W43" s="24" t="s">
        <v>82</v>
      </c>
      <c r="X43" s="24" t="s">
        <v>82</v>
      </c>
      <c r="Y43" s="24" t="s">
        <v>82</v>
      </c>
      <c r="Z43" s="24" t="s">
        <v>82</v>
      </c>
      <c r="AB43" s="23">
        <v>4</v>
      </c>
      <c r="AC43" s="24" t="s">
        <v>82</v>
      </c>
      <c r="AD43" s="24" t="s">
        <v>82</v>
      </c>
      <c r="AE43" s="24" t="s">
        <v>82</v>
      </c>
      <c r="AF43" s="24" t="s">
        <v>82</v>
      </c>
      <c r="AG43" s="24" t="s">
        <v>82</v>
      </c>
      <c r="AH43" s="24" t="s">
        <v>82</v>
      </c>
      <c r="AI43" s="24" t="s">
        <v>82</v>
      </c>
    </row>
    <row r="44" spans="18:35" x14ac:dyDescent="0.25">
      <c r="R44" s="85"/>
      <c r="S44" s="23">
        <v>3</v>
      </c>
      <c r="T44" s="24" t="s">
        <v>82</v>
      </c>
      <c r="U44" s="24" t="s">
        <v>82</v>
      </c>
      <c r="V44" s="24">
        <v>1</v>
      </c>
      <c r="W44" s="24" t="s">
        <v>82</v>
      </c>
      <c r="X44" s="24" t="s">
        <v>82</v>
      </c>
      <c r="Y44" s="24" t="s">
        <v>82</v>
      </c>
      <c r="Z44" s="24" t="s">
        <v>82</v>
      </c>
      <c r="AB44" s="23">
        <v>3</v>
      </c>
      <c r="AC44" s="24" t="s">
        <v>82</v>
      </c>
      <c r="AD44" s="24" t="s">
        <v>82</v>
      </c>
      <c r="AE44" s="24">
        <v>1</v>
      </c>
      <c r="AF44" s="24" t="s">
        <v>82</v>
      </c>
      <c r="AG44" s="24" t="s">
        <v>82</v>
      </c>
      <c r="AH44" s="24" t="s">
        <v>82</v>
      </c>
      <c r="AI44" s="24" t="s">
        <v>82</v>
      </c>
    </row>
    <row r="45" spans="18:35" x14ac:dyDescent="0.25">
      <c r="R45" s="85"/>
      <c r="S45" s="23">
        <v>2</v>
      </c>
      <c r="T45" s="24" t="s">
        <v>82</v>
      </c>
      <c r="U45" s="24" t="s">
        <v>82</v>
      </c>
      <c r="V45" s="24" t="s">
        <v>82</v>
      </c>
      <c r="W45" s="24" t="s">
        <v>82</v>
      </c>
      <c r="X45" s="24" t="s">
        <v>82</v>
      </c>
      <c r="Y45" s="24" t="s">
        <v>82</v>
      </c>
      <c r="Z45" s="24" t="s">
        <v>82</v>
      </c>
      <c r="AB45" s="23">
        <v>2</v>
      </c>
      <c r="AC45" s="24" t="s">
        <v>82</v>
      </c>
      <c r="AD45" s="24" t="s">
        <v>82</v>
      </c>
      <c r="AE45" s="24" t="s">
        <v>82</v>
      </c>
      <c r="AF45" s="24" t="s">
        <v>82</v>
      </c>
      <c r="AG45" s="24" t="s">
        <v>82</v>
      </c>
      <c r="AH45" s="24" t="s">
        <v>82</v>
      </c>
      <c r="AI45" s="24" t="s">
        <v>82</v>
      </c>
    </row>
    <row r="46" spans="18:35" x14ac:dyDescent="0.25">
      <c r="R46" s="85"/>
      <c r="S46" s="23">
        <v>1</v>
      </c>
      <c r="T46" s="24" t="s">
        <v>82</v>
      </c>
      <c r="U46" s="24" t="s">
        <v>82</v>
      </c>
      <c r="V46" s="24" t="s">
        <v>82</v>
      </c>
      <c r="W46" s="24" t="s">
        <v>82</v>
      </c>
      <c r="X46" s="24" t="s">
        <v>82</v>
      </c>
      <c r="Y46" s="24" t="s">
        <v>82</v>
      </c>
      <c r="Z46" s="24" t="s">
        <v>82</v>
      </c>
      <c r="AB46" s="23">
        <v>1</v>
      </c>
      <c r="AC46" s="24" t="s">
        <v>82</v>
      </c>
      <c r="AD46" s="24" t="s">
        <v>82</v>
      </c>
      <c r="AE46" s="24" t="s">
        <v>82</v>
      </c>
      <c r="AF46" s="24" t="s">
        <v>82</v>
      </c>
      <c r="AG46" s="24" t="s">
        <v>82</v>
      </c>
      <c r="AH46" s="24" t="s">
        <v>82</v>
      </c>
      <c r="AI46" s="24" t="s">
        <v>82</v>
      </c>
    </row>
    <row r="47" spans="18:35" x14ac:dyDescent="0.25">
      <c r="T47" s="25">
        <v>1</v>
      </c>
      <c r="U47" s="25">
        <v>2</v>
      </c>
      <c r="V47" s="25">
        <v>3</v>
      </c>
      <c r="W47" s="25">
        <v>4</v>
      </c>
      <c r="X47" s="25">
        <v>5</v>
      </c>
      <c r="Y47" s="25">
        <v>6</v>
      </c>
      <c r="Z47" s="25">
        <v>7</v>
      </c>
      <c r="AC47" s="25">
        <v>1</v>
      </c>
      <c r="AD47" s="25">
        <v>2</v>
      </c>
      <c r="AE47" s="25">
        <v>3</v>
      </c>
      <c r="AF47" s="25">
        <v>4</v>
      </c>
      <c r="AG47" s="25">
        <v>5</v>
      </c>
      <c r="AH47" s="25">
        <v>6</v>
      </c>
      <c r="AI47" s="25">
        <v>7</v>
      </c>
    </row>
    <row r="48" spans="18:35" x14ac:dyDescent="0.25">
      <c r="T48" s="82" t="s">
        <v>48</v>
      </c>
      <c r="U48" s="82"/>
      <c r="V48" s="82"/>
      <c r="W48" s="82"/>
      <c r="X48" s="82"/>
      <c r="Y48" s="82"/>
      <c r="Z48" s="82"/>
      <c r="AC48" s="82" t="s">
        <v>48</v>
      </c>
      <c r="AD48" s="82"/>
      <c r="AE48" s="82"/>
      <c r="AF48" s="82"/>
      <c r="AG48" s="82"/>
      <c r="AH48" s="82"/>
      <c r="AI48" s="82"/>
    </row>
  </sheetData>
  <sheetProtection algorithmName="SHA-512" hashValue="lbO6en/Fnyscu9bmAWYHXzPz8bx8qc1dNhFDFQ8VXpN44GXN43+299X6NRX7JX2nD23Gf8rmjlhSj8vxLn/NtQ==" saltValue="UPLaF1oYUHXgV+cnm1/nIw==" spinCount="100000" sheet="1" objects="1" scenarios="1"/>
  <sortState ref="A2:I28">
    <sortCondition ref="A2"/>
  </sortState>
  <mergeCells count="23"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2" ma:contentTypeDescription="Create a new document." ma:contentTypeScope="" ma:versionID="bd3593010a512bd2aa90b0c20cf1f5f4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4c5c5e0f3adf1f87f277ab198cdd28fa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C1AB04-B176-4A3A-B607-8875F963F4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FA383D-6EE5-4F73-A778-A7CBA67AF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E93751-E2B7-4D40-9C92-85BEF421433E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c9707976-b9a4-4d64-b46b-225405a1185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Summary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2017-01-11T22:08:34Z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